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/>
  </bookViews>
  <sheets>
    <sheet name="tab 1" sheetId="4" r:id="rId1"/>
    <sheet name="tab 2" sheetId="5" r:id="rId2"/>
    <sheet name="tab 3" sheetId="6" r:id="rId3"/>
    <sheet name="tab 4" sheetId="7" r:id="rId4"/>
    <sheet name="tab 5" sheetId="8" r:id="rId5"/>
    <sheet name="tab 6" sheetId="9" r:id="rId6"/>
    <sheet name="tab 7" sheetId="11" r:id="rId7"/>
    <sheet name="tab 8" sheetId="10" r:id="rId8"/>
    <sheet name="tab 9" sheetId="12" r:id="rId9"/>
    <sheet name="tab 10" sheetId="14" r:id="rId10"/>
    <sheet name="tab 11" sheetId="15" r:id="rId11"/>
    <sheet name="tab 12" sheetId="16" r:id="rId12"/>
    <sheet name="List1" sheetId="1" r:id="rId13"/>
    <sheet name="List2" sheetId="2" r:id="rId14"/>
    <sheet name="List3" sheetId="3" r:id="rId15"/>
  </sheets>
  <externalReferences>
    <externalReference r:id="rId16"/>
  </externalReferences>
  <calcPr calcId="124519"/>
</workbook>
</file>

<file path=xl/calcChain.xml><?xml version="1.0" encoding="utf-8"?>
<calcChain xmlns="http://schemas.openxmlformats.org/spreadsheetml/2006/main">
  <c r="L20" i="16"/>
  <c r="K20"/>
  <c r="J20"/>
  <c r="I20"/>
  <c r="H20"/>
  <c r="G20"/>
  <c r="F20"/>
  <c r="E20"/>
  <c r="D20"/>
  <c r="B20"/>
  <c r="C19"/>
  <c r="C20" s="1"/>
  <c r="D40" i="15" l="1"/>
  <c r="B17" i="14" l="1"/>
  <c r="B13" l="1"/>
  <c r="G7" i="12"/>
  <c r="I7" s="1"/>
  <c r="H7"/>
  <c r="H11" s="1"/>
  <c r="J11" s="1"/>
  <c r="G8"/>
  <c r="I8" s="1"/>
  <c r="H8"/>
  <c r="J8" s="1"/>
  <c r="G9"/>
  <c r="I9" s="1"/>
  <c r="H9"/>
  <c r="J9" s="1"/>
  <c r="G10"/>
  <c r="I10" s="1"/>
  <c r="H10"/>
  <c r="J10" s="1"/>
  <c r="D11"/>
  <c r="F11"/>
  <c r="E18" i="11"/>
  <c r="G18" s="1"/>
  <c r="D18"/>
  <c r="F18" s="1"/>
  <c r="C18"/>
  <c r="B18"/>
  <c r="E17"/>
  <c r="G17" s="1"/>
  <c r="D17"/>
  <c r="F17" s="1"/>
  <c r="C17"/>
  <c r="B17"/>
  <c r="E16"/>
  <c r="G16" s="1"/>
  <c r="D16"/>
  <c r="F16" s="1"/>
  <c r="C16"/>
  <c r="B16"/>
  <c r="E15"/>
  <c r="G15" s="1"/>
  <c r="D15"/>
  <c r="F15" s="1"/>
  <c r="C15"/>
  <c r="B15"/>
  <c r="E14"/>
  <c r="G14" s="1"/>
  <c r="D14"/>
  <c r="F14" s="1"/>
  <c r="C14"/>
  <c r="B14"/>
  <c r="E13"/>
  <c r="G13" s="1"/>
  <c r="D13"/>
  <c r="F13" s="1"/>
  <c r="C13"/>
  <c r="B13"/>
  <c r="E12"/>
  <c r="G12" s="1"/>
  <c r="D12"/>
  <c r="F12" s="1"/>
  <c r="C12"/>
  <c r="B12"/>
  <c r="E11"/>
  <c r="G11" s="1"/>
  <c r="D11"/>
  <c r="F11" s="1"/>
  <c r="C11"/>
  <c r="B11"/>
  <c r="E10"/>
  <c r="G10" s="1"/>
  <c r="D10"/>
  <c r="F10" s="1"/>
  <c r="C10"/>
  <c r="B10"/>
  <c r="E9"/>
  <c r="G9" s="1"/>
  <c r="D9"/>
  <c r="F9" s="1"/>
  <c r="C9"/>
  <c r="B9"/>
  <c r="E8"/>
  <c r="G8" s="1"/>
  <c r="D8"/>
  <c r="F8" s="1"/>
  <c r="C8"/>
  <c r="B8"/>
  <c r="E7"/>
  <c r="E19" s="1"/>
  <c r="G19" s="1"/>
  <c r="D7"/>
  <c r="D19" s="1"/>
  <c r="F19" s="1"/>
  <c r="C7"/>
  <c r="C19" s="1"/>
  <c r="B7"/>
  <c r="B19" s="1"/>
  <c r="E19" i="10"/>
  <c r="D19"/>
  <c r="F19" s="1"/>
  <c r="C19"/>
  <c r="G19" s="1"/>
  <c r="B19"/>
  <c r="G16"/>
  <c r="F16"/>
  <c r="G13"/>
  <c r="F13"/>
  <c r="G11"/>
  <c r="F11"/>
  <c r="G8"/>
  <c r="F8"/>
  <c r="E18" i="9"/>
  <c r="D18"/>
  <c r="C18"/>
  <c r="G18" s="1"/>
  <c r="B18"/>
  <c r="F18" s="1"/>
  <c r="E17"/>
  <c r="G17" s="1"/>
  <c r="D17"/>
  <c r="F17" s="1"/>
  <c r="C17"/>
  <c r="B17"/>
  <c r="E16"/>
  <c r="D16"/>
  <c r="C16"/>
  <c r="G16" s="1"/>
  <c r="B16"/>
  <c r="F16" s="1"/>
  <c r="E15"/>
  <c r="G15" s="1"/>
  <c r="D15"/>
  <c r="F15" s="1"/>
  <c r="C15"/>
  <c r="B15"/>
  <c r="E14"/>
  <c r="D14"/>
  <c r="C14"/>
  <c r="G14" s="1"/>
  <c r="B14"/>
  <c r="F14" s="1"/>
  <c r="E13"/>
  <c r="G13" s="1"/>
  <c r="D13"/>
  <c r="F13" s="1"/>
  <c r="C13"/>
  <c r="B13"/>
  <c r="E12"/>
  <c r="D12"/>
  <c r="C12"/>
  <c r="G12" s="1"/>
  <c r="B12"/>
  <c r="F12" s="1"/>
  <c r="E11"/>
  <c r="G11" s="1"/>
  <c r="D11"/>
  <c r="F11" s="1"/>
  <c r="C11"/>
  <c r="B11"/>
  <c r="E10"/>
  <c r="D10"/>
  <c r="C10"/>
  <c r="G10" s="1"/>
  <c r="B10"/>
  <c r="F10" s="1"/>
  <c r="E9"/>
  <c r="G9" s="1"/>
  <c r="D9"/>
  <c r="F9" s="1"/>
  <c r="C9"/>
  <c r="B9"/>
  <c r="E8"/>
  <c r="D8"/>
  <c r="C8"/>
  <c r="G8" s="1"/>
  <c r="B8"/>
  <c r="F8" s="1"/>
  <c r="E7"/>
  <c r="G7" s="1"/>
  <c r="D7"/>
  <c r="F7" s="1"/>
  <c r="C7"/>
  <c r="C19" s="1"/>
  <c r="B7"/>
  <c r="B19" s="1"/>
  <c r="E18" i="8"/>
  <c r="G18" s="1"/>
  <c r="D18"/>
  <c r="F18" s="1"/>
  <c r="C18"/>
  <c r="B18"/>
  <c r="G17"/>
  <c r="E17"/>
  <c r="D17"/>
  <c r="F17" s="1"/>
  <c r="G16"/>
  <c r="F16"/>
  <c r="G15"/>
  <c r="F15"/>
  <c r="G11"/>
  <c r="F11"/>
  <c r="E10"/>
  <c r="D10"/>
  <c r="E9"/>
  <c r="G9" s="1"/>
  <c r="D9"/>
  <c r="F9" s="1"/>
  <c r="C9"/>
  <c r="B9"/>
  <c r="E8"/>
  <c r="E19" s="1"/>
  <c r="G19" s="1"/>
  <c r="D8"/>
  <c r="D19" s="1"/>
  <c r="F19" s="1"/>
  <c r="C8"/>
  <c r="B8"/>
  <c r="B19" s="1"/>
  <c r="F7"/>
  <c r="D7"/>
  <c r="C7"/>
  <c r="C19" s="1"/>
  <c r="B7"/>
  <c r="Z25" i="7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B24"/>
  <c r="AA24"/>
  <c r="AB23"/>
  <c r="AA23"/>
  <c r="AB22"/>
  <c r="AA22"/>
  <c r="AB21"/>
  <c r="AA21"/>
  <c r="AB20"/>
  <c r="AA20"/>
  <c r="AB19"/>
  <c r="AA19"/>
  <c r="AB18"/>
  <c r="AA18"/>
  <c r="AB17"/>
  <c r="AA17"/>
  <c r="AB16"/>
  <c r="AA16"/>
  <c r="AB15"/>
  <c r="AA15"/>
  <c r="AB14"/>
  <c r="AA14"/>
  <c r="AB13"/>
  <c r="AA13"/>
  <c r="AB12"/>
  <c r="AA12"/>
  <c r="AB11"/>
  <c r="AA11"/>
  <c r="AB10"/>
  <c r="AA10"/>
  <c r="AB9"/>
  <c r="AA9"/>
  <c r="AB8"/>
  <c r="AA8"/>
  <c r="AB7"/>
  <c r="AA7"/>
  <c r="AB6"/>
  <c r="AA6"/>
  <c r="AB5"/>
  <c r="AA5"/>
  <c r="AB4"/>
  <c r="AB25" s="1"/>
  <c r="AA4"/>
  <c r="AA25" s="1"/>
  <c r="J7" i="12" l="1"/>
  <c r="G7" i="11"/>
  <c r="F7"/>
  <c r="E19" i="9"/>
  <c r="G19" s="1"/>
  <c r="D19"/>
  <c r="F19" s="1"/>
  <c r="F8" i="8"/>
  <c r="G7"/>
  <c r="G8"/>
  <c r="C19" i="6"/>
  <c r="B19"/>
  <c r="D18"/>
  <c r="D17"/>
  <c r="D16"/>
  <c r="D15"/>
  <c r="D14"/>
  <c r="D13"/>
  <c r="D12"/>
  <c r="D11"/>
  <c r="D10"/>
  <c r="D9"/>
  <c r="D8"/>
  <c r="D19" s="1"/>
  <c r="D7"/>
  <c r="I19" i="5"/>
  <c r="H19"/>
  <c r="F19"/>
  <c r="C19"/>
  <c r="L18"/>
  <c r="J18"/>
  <c r="E18"/>
  <c r="K18" s="1"/>
  <c r="M18" s="1"/>
  <c r="D18"/>
  <c r="M17"/>
  <c r="L17"/>
  <c r="K17"/>
  <c r="J17"/>
  <c r="G17"/>
  <c r="E17"/>
  <c r="D17"/>
  <c r="L16"/>
  <c r="J16"/>
  <c r="E16"/>
  <c r="G16" s="1"/>
  <c r="D16"/>
  <c r="L15"/>
  <c r="K15"/>
  <c r="M15" s="1"/>
  <c r="J15"/>
  <c r="G15"/>
  <c r="D15"/>
  <c r="M14"/>
  <c r="L14"/>
  <c r="K14"/>
  <c r="J14"/>
  <c r="G14"/>
  <c r="E14"/>
  <c r="D14"/>
  <c r="L13"/>
  <c r="J13"/>
  <c r="E13"/>
  <c r="G13" s="1"/>
  <c r="B13"/>
  <c r="B19" s="1"/>
  <c r="L12"/>
  <c r="J12"/>
  <c r="E12"/>
  <c r="G12" s="1"/>
  <c r="D12"/>
  <c r="L11"/>
  <c r="K11"/>
  <c r="M11" s="1"/>
  <c r="J11"/>
  <c r="G11"/>
  <c r="E11"/>
  <c r="D11"/>
  <c r="L10"/>
  <c r="J10"/>
  <c r="E10"/>
  <c r="K10" s="1"/>
  <c r="M10" s="1"/>
  <c r="D10"/>
  <c r="M9"/>
  <c r="L9"/>
  <c r="K9"/>
  <c r="J9"/>
  <c r="G9"/>
  <c r="E9"/>
  <c r="D9"/>
  <c r="L8"/>
  <c r="J8"/>
  <c r="E8"/>
  <c r="G8" s="1"/>
  <c r="D8"/>
  <c r="L7"/>
  <c r="L19" s="1"/>
  <c r="K7"/>
  <c r="J7"/>
  <c r="J19" s="1"/>
  <c r="G7"/>
  <c r="E7"/>
  <c r="E19" s="1"/>
  <c r="D7"/>
  <c r="D19" l="1"/>
  <c r="K8"/>
  <c r="M8" s="1"/>
  <c r="G10"/>
  <c r="G19" s="1"/>
  <c r="K12"/>
  <c r="M12" s="1"/>
  <c r="D13"/>
  <c r="K13"/>
  <c r="M13" s="1"/>
  <c r="K16"/>
  <c r="M16" s="1"/>
  <c r="G18"/>
  <c r="M7"/>
  <c r="M19" l="1"/>
  <c r="K19"/>
  <c r="O54" i="4" l="1"/>
  <c r="K54"/>
  <c r="I54"/>
  <c r="L54" s="1"/>
  <c r="L46"/>
  <c r="L45"/>
  <c r="L42"/>
  <c r="G36"/>
  <c r="F36"/>
  <c r="E36"/>
  <c r="D36"/>
  <c r="C36"/>
  <c r="B36"/>
  <c r="G31"/>
  <c r="F31"/>
  <c r="E31"/>
  <c r="D31"/>
  <c r="C31"/>
  <c r="B31"/>
  <c r="U24"/>
  <c r="T24"/>
  <c r="S24"/>
  <c r="R24"/>
  <c r="Q24"/>
  <c r="P24"/>
  <c r="O24"/>
  <c r="L24"/>
  <c r="K24"/>
  <c r="G24"/>
  <c r="U22"/>
  <c r="U25" s="1"/>
  <c r="T22"/>
  <c r="T25" s="1"/>
  <c r="S22"/>
  <c r="S25" s="1"/>
  <c r="R22"/>
  <c r="R25" s="1"/>
  <c r="Q22"/>
  <c r="Q25" s="1"/>
  <c r="L22"/>
  <c r="L25" s="1"/>
  <c r="K22"/>
  <c r="K25" s="1"/>
  <c r="E22"/>
  <c r="D22"/>
  <c r="P21"/>
  <c r="O21"/>
  <c r="V21" s="1"/>
  <c r="F21"/>
  <c r="P20"/>
  <c r="O20"/>
  <c r="V20" s="1"/>
  <c r="F20"/>
  <c r="P19"/>
  <c r="O19"/>
  <c r="V19" s="1"/>
  <c r="F19"/>
  <c r="P18"/>
  <c r="O18"/>
  <c r="V18" s="1"/>
  <c r="F18"/>
  <c r="P17"/>
  <c r="O17"/>
  <c r="V17" s="1"/>
  <c r="F17"/>
  <c r="P16"/>
  <c r="O16"/>
  <c r="V16" s="1"/>
  <c r="F16"/>
  <c r="P15"/>
  <c r="O15"/>
  <c r="V15" s="1"/>
  <c r="F15"/>
  <c r="P14"/>
  <c r="V14" s="1"/>
  <c r="O14"/>
  <c r="F14"/>
  <c r="P13"/>
  <c r="O13"/>
  <c r="V13" s="1"/>
  <c r="C13"/>
  <c r="C22" s="1"/>
  <c r="P12"/>
  <c r="O12"/>
  <c r="V12" s="1"/>
  <c r="F12"/>
  <c r="V11"/>
  <c r="W11" s="1"/>
  <c r="P11"/>
  <c r="O11"/>
  <c r="F11"/>
  <c r="P10"/>
  <c r="P22" s="1"/>
  <c r="P25" s="1"/>
  <c r="O10"/>
  <c r="V10" s="1"/>
  <c r="F10"/>
  <c r="V6"/>
  <c r="B53" s="1"/>
  <c r="V5"/>
  <c r="B51" s="1"/>
  <c r="X18" l="1"/>
  <c r="W18"/>
  <c r="B18"/>
  <c r="G18" s="1"/>
  <c r="V22"/>
  <c r="W10"/>
  <c r="B10"/>
  <c r="X10"/>
  <c r="W15"/>
  <c r="B15"/>
  <c r="G15" s="1"/>
  <c r="X15"/>
  <c r="W19"/>
  <c r="B19"/>
  <c r="G19" s="1"/>
  <c r="X19"/>
  <c r="G10"/>
  <c r="W12"/>
  <c r="B12"/>
  <c r="G12" s="1"/>
  <c r="X12"/>
  <c r="X16"/>
  <c r="W16"/>
  <c r="B16"/>
  <c r="G16" s="1"/>
  <c r="X20"/>
  <c r="W20"/>
  <c r="B20"/>
  <c r="G20" s="1"/>
  <c r="B13"/>
  <c r="W13"/>
  <c r="X13"/>
  <c r="X14"/>
  <c r="W14"/>
  <c r="B14"/>
  <c r="G14" s="1"/>
  <c r="W17"/>
  <c r="B17"/>
  <c r="G17" s="1"/>
  <c r="X17"/>
  <c r="W21"/>
  <c r="B21"/>
  <c r="G21" s="1"/>
  <c r="X21"/>
  <c r="F22"/>
  <c r="B48"/>
  <c r="B52"/>
  <c r="F13"/>
  <c r="B42"/>
  <c r="B54" s="1"/>
  <c r="B43"/>
  <c r="B49"/>
  <c r="X11"/>
  <c r="O22"/>
  <c r="O25" s="1"/>
  <c r="V24"/>
  <c r="B44"/>
  <c r="B50"/>
  <c r="B11"/>
  <c r="G11" s="1"/>
  <c r="B45"/>
  <c r="B46"/>
  <c r="B47"/>
  <c r="I11" l="1"/>
  <c r="D43"/>
  <c r="F43" s="1"/>
  <c r="H11"/>
  <c r="H12"/>
  <c r="D44"/>
  <c r="F44" s="1"/>
  <c r="I12"/>
  <c r="D48"/>
  <c r="F48" s="1"/>
  <c r="H16"/>
  <c r="I16"/>
  <c r="H19"/>
  <c r="D51"/>
  <c r="F51" s="1"/>
  <c r="I19"/>
  <c r="V25"/>
  <c r="W22"/>
  <c r="D46"/>
  <c r="F46" s="1"/>
  <c r="H14"/>
  <c r="I14"/>
  <c r="H15"/>
  <c r="D47"/>
  <c r="F47" s="1"/>
  <c r="I15"/>
  <c r="G13"/>
  <c r="H21"/>
  <c r="I21"/>
  <c r="D53"/>
  <c r="F53" s="1"/>
  <c r="G22"/>
  <c r="H10"/>
  <c r="I10"/>
  <c r="D42"/>
  <c r="H17"/>
  <c r="I17"/>
  <c r="D49"/>
  <c r="F49" s="1"/>
  <c r="D52"/>
  <c r="F52" s="1"/>
  <c r="H20"/>
  <c r="I20"/>
  <c r="D50"/>
  <c r="F50" s="1"/>
  <c r="H18"/>
  <c r="I18"/>
  <c r="B22"/>
  <c r="X22"/>
  <c r="F42" l="1"/>
  <c r="H22"/>
  <c r="G25"/>
  <c r="G26" s="1"/>
  <c r="H13"/>
  <c r="D45"/>
  <c r="F45" s="1"/>
  <c r="I13"/>
  <c r="I22"/>
  <c r="D54" l="1"/>
  <c r="F54" s="1"/>
</calcChain>
</file>

<file path=xl/sharedStrings.xml><?xml version="1.0" encoding="utf-8"?>
<sst xmlns="http://schemas.openxmlformats.org/spreadsheetml/2006/main" count="444" uniqueCount="283">
  <si>
    <t>ANALIZA OSTVARENIH I UGOVORENIH LIMITA ZA 2021. god</t>
  </si>
  <si>
    <t>STANJE NA DAN 31.12.2021.</t>
  </si>
  <si>
    <t>OSNOVNO OSIGURANJE (BEZ DOPUNSKOG)</t>
  </si>
  <si>
    <t>VAN LIMITA</t>
  </si>
  <si>
    <t>LIMIT</t>
  </si>
  <si>
    <t>ambulanta  SKZZ</t>
  </si>
  <si>
    <t>AKUTNI</t>
  </si>
  <si>
    <t>STACION.</t>
  </si>
  <si>
    <t>BIOL.TER.</t>
  </si>
  <si>
    <t>UK. BOLN.</t>
  </si>
  <si>
    <t>SVEUKUPNO</t>
  </si>
  <si>
    <r>
      <t xml:space="preserve">IZVRŠENJE </t>
    </r>
    <r>
      <rPr>
        <strike/>
        <sz val="9"/>
        <color indexed="8"/>
        <rFont val="Calibri"/>
        <family val="2"/>
        <scheme val="minor"/>
      </rPr>
      <t>%</t>
    </r>
  </si>
  <si>
    <t>više/manje od max.moguće</t>
  </si>
  <si>
    <t>STL</t>
  </si>
  <si>
    <t>INTERVENCIJ. KARDIOLOGIJA</t>
  </si>
  <si>
    <t>LIMIT za određene postupke</t>
  </si>
  <si>
    <t>MR</t>
  </si>
  <si>
    <t>CT</t>
  </si>
  <si>
    <t>Holter EKG</t>
  </si>
  <si>
    <t>UZV srca</t>
  </si>
  <si>
    <t>Ergometrija</t>
  </si>
  <si>
    <t>UZV dojki</t>
  </si>
  <si>
    <t>UZV štitnjače</t>
  </si>
  <si>
    <t>UKUPNO</t>
  </si>
  <si>
    <t>više/manje</t>
  </si>
  <si>
    <t>mj. Limit</t>
  </si>
  <si>
    <t>godišnje</t>
  </si>
  <si>
    <t>1/21</t>
  </si>
  <si>
    <t>1-10/21</t>
  </si>
  <si>
    <t>2/21</t>
  </si>
  <si>
    <t>11-12/21</t>
  </si>
  <si>
    <t>3/21</t>
  </si>
  <si>
    <t>4-6/21</t>
  </si>
  <si>
    <t>7-12/21</t>
  </si>
  <si>
    <t xml:space="preserve"> 01/21</t>
  </si>
  <si>
    <t xml:space="preserve"> 02/21</t>
  </si>
  <si>
    <t xml:space="preserve"> 03/21</t>
  </si>
  <si>
    <t xml:space="preserve"> 04/21</t>
  </si>
  <si>
    <t xml:space="preserve"> 05/21</t>
  </si>
  <si>
    <t xml:space="preserve"> 06/21</t>
  </si>
  <si>
    <t xml:space="preserve"> 07/21</t>
  </si>
  <si>
    <t xml:space="preserve"> 08/21</t>
  </si>
  <si>
    <t xml:space="preserve"> 09/21</t>
  </si>
  <si>
    <t xml:space="preserve"> 10/21</t>
  </si>
  <si>
    <t xml:space="preserve"> 11/21</t>
  </si>
  <si>
    <t xml:space="preserve"> 12/21</t>
  </si>
  <si>
    <t>limit po Ugovoru do 31.12.21.</t>
  </si>
  <si>
    <t>limit po Ug. do 31.12.21.</t>
  </si>
  <si>
    <t>Višak/manjak prema ugovoru</t>
  </si>
  <si>
    <t>Višak/manjak</t>
  </si>
  <si>
    <t>Obveza prema zapisniku HZZO na 31.12.21. (avans )</t>
  </si>
  <si>
    <t>UKUPNO IZVRŠENJE LIMITA OD 01-03/2018</t>
  </si>
  <si>
    <t>UDIO U POSTOTKU U UKUPNOM IZVRŠENJU OD 01-03/2018</t>
  </si>
  <si>
    <t>UKUPNO IZVRŠENJE LIMITA OD 01-04/2018</t>
  </si>
  <si>
    <t>UDIO U POSTOTKU U UKUPNOM IZVRŠENJU OD 01-04/2018</t>
  </si>
  <si>
    <t>MAKSIMALNO MOGUĆI LIMIT = POLIKLINIKA + STACIONAR + ODREĐENI POSTUPCI</t>
  </si>
  <si>
    <t>SVEUKUPNO IZVRŠENJE LIMITA = POLIKLINIKA + STACIONAR + ODREĐENI POSTUPCI</t>
  </si>
  <si>
    <t>RAZLIKA (IZVRŠENO - MAX.MOGUĆE)</t>
  </si>
  <si>
    <t>Fakturirano Covid-19 odjel (dio akutnog)</t>
  </si>
  <si>
    <t>Broj računa (pacijenta)</t>
  </si>
  <si>
    <t>Prosječan iznos po računu (po pacijentu)</t>
  </si>
  <si>
    <t xml:space="preserve">Nacionalni </t>
  </si>
  <si>
    <t>2021</t>
  </si>
  <si>
    <t>program NPP</t>
  </si>
  <si>
    <t>Thalassotherapia Opatija</t>
  </si>
  <si>
    <r>
      <t xml:space="preserve">POPUNJENOST KAPACITETA </t>
    </r>
    <r>
      <rPr>
        <b/>
        <sz val="16"/>
        <color rgb="FFFF0000"/>
        <rFont val="Calibri"/>
        <family val="2"/>
        <scheme val="minor"/>
      </rPr>
      <t>SOBA</t>
    </r>
    <r>
      <rPr>
        <b/>
        <sz val="16"/>
        <color theme="1"/>
        <rFont val="Calibri"/>
        <family val="2"/>
        <scheme val="minor"/>
      </rPr>
      <t xml:space="preserve"> DUBRAVA, FIZIJATRIJA IV kat, EUROPA I i II za 2021. god. - </t>
    </r>
    <r>
      <rPr>
        <b/>
        <sz val="16"/>
        <color rgb="FFFF0000"/>
        <rFont val="Calibri"/>
        <family val="2"/>
        <scheme val="minor"/>
      </rPr>
      <t>TRŽIŠTE</t>
    </r>
  </si>
  <si>
    <t>DUBRAVA</t>
  </si>
  <si>
    <t>FIZIJATRIJA III i IV kat</t>
  </si>
  <si>
    <t>EUROPA I  i II</t>
  </si>
  <si>
    <t>2021 GODINA</t>
  </si>
  <si>
    <t xml:space="preserve">BROJ NOĆENJA </t>
  </si>
  <si>
    <t>BROJ SOBA</t>
  </si>
  <si>
    <t>ISKORIŠTENOST KAPACITETA U %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</si>
  <si>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</si>
  <si>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</si>
  <si>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</si>
  <si>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</si>
  <si>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</si>
  <si>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</si>
  <si>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</si>
  <si>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</si>
  <si>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</si>
  <si>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</si>
  <si>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</si>
  <si>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12/2021</t>
  </si>
  <si>
    <t>UKUPNO 2021 - PROSJEK</t>
  </si>
  <si>
    <t xml:space="preserve">Podaci preuzeti iz Mish.  </t>
  </si>
  <si>
    <t>Napomene:</t>
  </si>
  <si>
    <t>Maksimalni prosječni kapacitet zauzetosti soba je 2.340 noćenja mjesečno odnosno 28.080 noćenja godišnje zauzetosti soba.</t>
  </si>
  <si>
    <t>Za tržište se prosječno koristi 5 soba s III kata i 12 soba s IV kata fizijatrije.</t>
  </si>
  <si>
    <r>
      <t xml:space="preserve">POPUNJENOST KAPACITETA </t>
    </r>
    <r>
      <rPr>
        <b/>
        <sz val="16"/>
        <color rgb="FFFF0000"/>
        <rFont val="Calibri"/>
        <family val="2"/>
        <scheme val="minor"/>
      </rPr>
      <t>KREVETA ZA PACIJENTE HZZO                        PREMA UGOVORU 2021. god.</t>
    </r>
  </si>
  <si>
    <t>HZZO</t>
  </si>
  <si>
    <t>BROJ NOĆENJA</t>
  </si>
  <si>
    <t>BROJ KREVETA</t>
  </si>
  <si>
    <t>Podaci preuzeti iz BisIzvještaja i WinBisa.</t>
  </si>
  <si>
    <t>Napomena:</t>
  </si>
  <si>
    <t>Broj noćenja odnosi se na sve pacijente s uputnicom (medicinski dio).</t>
  </si>
  <si>
    <t>SPORTAŠI PO KLUBOVIMA 2021. GODINE - BROJ SPORTAŠA (pregleda) + broj dodatnih pretraga</t>
  </si>
  <si>
    <t>ŠIFRA PARTNERA</t>
  </si>
  <si>
    <t>IME PARTNERA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</si>
  <si>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</si>
  <si>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</si>
  <si>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</si>
  <si>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</si>
  <si>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</si>
  <si>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</si>
  <si>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</si>
  <si>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</si>
  <si>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</si>
  <si>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</si>
  <si>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</si>
  <si>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</si>
  <si>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BROJ sportaša</t>
  </si>
  <si>
    <t>BROJ dodatnih pretraga</t>
  </si>
  <si>
    <t>BROJ SPORTAŠA</t>
  </si>
  <si>
    <t>BROJ DODATNIH PRETRAGA</t>
  </si>
  <si>
    <t xml:space="preserve">NOGOMETNI KLUB RIJEKA </t>
  </si>
  <si>
    <t>RUKOMETNI KLUB LIBURNIJA OPATIJA</t>
  </si>
  <si>
    <t>KARATE KLUB OPATIJA</t>
  </si>
  <si>
    <t>ODBOJKAŠKI KLUB OPATIJA</t>
  </si>
  <si>
    <t>KLUB ODBOJKA NA PIJESKU</t>
  </si>
  <si>
    <t>KOŠARKAŠKI KLUB OPATIJA</t>
  </si>
  <si>
    <t>VATERPOLO KLUB OPATIJA</t>
  </si>
  <si>
    <t>TENIS KLUB OPATIJA</t>
  </si>
  <si>
    <t>AUTO KLUB "OPATIJA"</t>
  </si>
  <si>
    <t>AK MOTORSPORT IČIĆI</t>
  </si>
  <si>
    <t>NOGOMETNI KLUB OPATIJA</t>
  </si>
  <si>
    <t>JEDRILIČARSKI KLUB OPATIJA</t>
  </si>
  <si>
    <t>STRELJAČKI KLUB DVD OPATIJA</t>
  </si>
  <si>
    <t>YAHT KLUB CROATIA - OPATIJA</t>
  </si>
  <si>
    <t>STOLNOTENISKI KLUB OPATIJA 08</t>
  </si>
  <si>
    <t>MALONOGOMETNI KLUB GOROVO</t>
  </si>
  <si>
    <t>BOĆARSKI KLUB OPATIJA</t>
  </si>
  <si>
    <t>DRUŠTVO SPORTOVA NA MORU VOLOSKO</t>
  </si>
  <si>
    <t>KIKBOXING KLUB "OPATIJA FIGHT CLUB"</t>
  </si>
  <si>
    <t>ŠPORTSKO RIBOLOVNI KLUB "IČIĆI"</t>
  </si>
  <si>
    <t>JUDO KLUB LIBURNIJA</t>
  </si>
  <si>
    <t>UKUPNO PO MJESECIMA</t>
  </si>
  <si>
    <t>UTROŠAK NAFTE 2020./2021. GODINE</t>
  </si>
  <si>
    <t>MJESEC</t>
  </si>
  <si>
    <t>2020. GODINA</t>
  </si>
  <si>
    <t>2021. GODINA</t>
  </si>
  <si>
    <t>INDEKS UTROŠKA NAFTE U LITRAMA</t>
  </si>
  <si>
    <t>INDEKS UTROŠKA NAFTE U KUNAMA</t>
  </si>
  <si>
    <t>LITARA</t>
  </si>
  <si>
    <t>KUNA</t>
  </si>
  <si>
    <t>PODACI PREUZETI IZ ULAZNIH RAČUNA - iznosi s PDV-om</t>
  </si>
  <si>
    <t>UTROŠAK ELEKTRIČNE ENERGIJE 2020./2021. GODINE</t>
  </si>
  <si>
    <t>INDEKS UTROŠKA ELEKTRIČNE ENERGIJE U kWh</t>
  </si>
  <si>
    <t>INDEKS UTROŠKA ELEKTRIČNE ENERGIJE U KUNAMA</t>
  </si>
  <si>
    <t>kWh</t>
  </si>
  <si>
    <t>Od 06/2020 pribraja se i potrošnja po brojilu u stanu u Vili Dubrava</t>
  </si>
  <si>
    <t>UTROŠAK PLINA 2020./2021. GODINA</t>
  </si>
  <si>
    <t>INDEKS UTROŠKA PLINA U KG</t>
  </si>
  <si>
    <t>INDEKS UTROŠKA PLINA U KUNAMA</t>
  </si>
  <si>
    <t>KILOGRAMA</t>
  </si>
  <si>
    <t>PLIN SE ISKLJUČIVO TROŠI U KUHINJI DUBRAVE</t>
  </si>
  <si>
    <t>UTROŠAK VODE 2020./2021. GODINA - UKUPNO</t>
  </si>
  <si>
    <t>2020. godina</t>
  </si>
  <si>
    <t>2021. godina</t>
  </si>
  <si>
    <t>INDEKS UTROŠKA VODE U m3</t>
  </si>
  <si>
    <t>INDEKS UTROŠKA VODE U KUNAMA</t>
  </si>
  <si>
    <t>m3</t>
  </si>
  <si>
    <t>19%</t>
  </si>
  <si>
    <t>kg</t>
  </si>
  <si>
    <t>PLIN</t>
  </si>
  <si>
    <t>79%</t>
  </si>
  <si>
    <t>l</t>
  </si>
  <si>
    <t>LOŽ ULJE</t>
  </si>
  <si>
    <t>% porasta cijena</t>
  </si>
  <si>
    <t>31.12.2020. - cijena</t>
  </si>
  <si>
    <t>1.1.2020. - cijena</t>
  </si>
  <si>
    <t>MJ. JED.</t>
  </si>
  <si>
    <t>energenti</t>
  </si>
  <si>
    <t xml:space="preserve">Moramo napomenuti da su povećani financijski izdaci kod lož ulja i plina nastali kao posljedica porasta jediničnih cijena pojedinih energenata. </t>
  </si>
  <si>
    <t>plin 38% više i vode 6% više, ukupno smo na energentima potrošili 492.000 kn više u usporedbi s prethodnom godinom odnosno 21% više.</t>
  </si>
  <si>
    <t>Također smo imali i veći rashod u financijskom smislu te smo tijekom 2021. god imali veće troškove za: lož ulje 44% više, električnu energiju 12% više,</t>
  </si>
  <si>
    <t>vode 6 % više.</t>
  </si>
  <si>
    <t xml:space="preserve">Tijekom 2021. god. u usporedbi s 2020. god. trošili smo više energenata: lož ulja 13% više, električne energije 12% više, plina 38% više i </t>
  </si>
  <si>
    <t>VODA</t>
  </si>
  <si>
    <t>ELEKTRIČNA ENERGIJA</t>
  </si>
  <si>
    <t>KOLIČINA</t>
  </si>
  <si>
    <t>USPOREDBA                     2020/2021 GOD. U POSTOTKU</t>
  </si>
  <si>
    <t>RAZLIKA                     2021-2020 GOD.</t>
  </si>
  <si>
    <t>ENERGENTI</t>
  </si>
  <si>
    <t>UTROŠAK ENERGENATA i VODE 2020./2021. GODINE</t>
  </si>
  <si>
    <t>3232 - USLUGE TEKUĆEG I INVESTICIJSKOG ODRŽAVANJA</t>
  </si>
  <si>
    <t>PLAN JAVNE NABAVE - INVESTICIJSKO ODRŽAVANJE</t>
  </si>
  <si>
    <t>IZVRŠENJE IZNOS</t>
  </si>
  <si>
    <t>Sanacija  konstrukcije ulaznog hola wellness - Zemlja poput zmaja</t>
  </si>
  <si>
    <t xml:space="preserve">Sanacija instalacija bazen fizijatrija - Merit </t>
  </si>
  <si>
    <t>Sanacija termotehničkih instalacija fizijatrija - Merit</t>
  </si>
  <si>
    <t>Sanacija klima komore  wellness - Menerga</t>
  </si>
  <si>
    <t>Zamjena stolarije u Fizijatriji - Fe al so</t>
  </si>
  <si>
    <t>Sanacija bazena - Stella</t>
  </si>
  <si>
    <t>Sevisiranje CT i MR uređaja / popravak - Siemens</t>
  </si>
  <si>
    <t>Ugradnja rasvjete iznad bazena - Ellex, Serdiukov</t>
  </si>
  <si>
    <t>UKUPNO TEKUĆE ODRŽAVANJE</t>
  </si>
  <si>
    <t>UKUPNO INVESTICIJSKO ODRŽAVANJE po projektima</t>
  </si>
  <si>
    <t>3232 - UKUPNO USLUGE TEKUĆEG I INVESTICIJSKOG ODRŽAVANJA</t>
  </si>
  <si>
    <t xml:space="preserve">KONTO </t>
  </si>
  <si>
    <t xml:space="preserve">IZNOS </t>
  </si>
  <si>
    <t xml:space="preserve">UKUPNO KONTO 4221 UREDSKA OPREMA I NAMJEŠTAJ </t>
  </si>
  <si>
    <t xml:space="preserve">Od toga </t>
  </si>
  <si>
    <t>UREDSKE STOLICE</t>
  </si>
  <si>
    <t xml:space="preserve">UKUPNO KONTO 4222 KOMUNIKACIJSKA OPREMA </t>
  </si>
  <si>
    <t xml:space="preserve">UKUPNO KONTO 4223 OPREMA ZA ODRŽAVANJE I ZAŠTITU </t>
  </si>
  <si>
    <t>UKUPNO KONTO 4224 MEDICINSKA I LABORATO.OPREMA</t>
  </si>
  <si>
    <t xml:space="preserve">UKUPNO ZA KONTO 4262 ULAGANJA U RAČUNALNE PROG. </t>
  </si>
  <si>
    <t>UKUPNO KONTO 4123 LICENCE</t>
  </si>
  <si>
    <t>RAČUNALA, LAPTOPI I OSTALA OPREMA</t>
  </si>
  <si>
    <t xml:space="preserve">PROGRAM ZA NARUČIVANJE ZA WELLNESS </t>
  </si>
  <si>
    <t>STATUS-DODATAK PROGRAMA ZA OBRAČUN PRIMANJA</t>
  </si>
  <si>
    <t>RAZNI NAMJEŠTAJ</t>
  </si>
  <si>
    <t>OPIS POJEDINE INVESTICIJE</t>
  </si>
  <si>
    <t>LICENCE BIS I MICROSOFT</t>
  </si>
  <si>
    <t>MOBITELI</t>
  </si>
  <si>
    <t>KLIMA UREĐAJ</t>
  </si>
  <si>
    <t>FUNKCIONALNI MAGNETSKI STIMULATOR ZA REHABILITACIJU FIZIKALNIH PACIJENATA</t>
  </si>
  <si>
    <t>HOLTERI - 5 KOM</t>
  </si>
  <si>
    <t>COMPEX - 3 KOM</t>
  </si>
  <si>
    <t>EKG UREĐAJ S VAKUMSKIM PUMPICAMA - 2 KOM</t>
  </si>
  <si>
    <t>DEFIBRILATOR</t>
  </si>
  <si>
    <t>BEŽIČNI RUČNI ULTRAZVUK</t>
  </si>
  <si>
    <t>TRAKA ZA REHABILITACIJU U BESTEŽINSKOM STANJU</t>
  </si>
  <si>
    <t>RADIOLOŠKI SUSTAV S DIGITALNIM RAVNIM DETEKTOROM</t>
  </si>
  <si>
    <t>UZV APARAT CANON</t>
  </si>
  <si>
    <t>DIGITALNI ZID ZA VOĐENJE TRENINGA U REH. FIZIKALNIH PACIJENATA</t>
  </si>
  <si>
    <t>UREĐAJ ZA MJERENJE PEDOBRONH. INDEKSA</t>
  </si>
  <si>
    <t>POC ANALIZATOR b101</t>
  </si>
  <si>
    <t>RAZNA MEDICINSKA OPREMA</t>
  </si>
  <si>
    <t>UKUPNO KONTO 4227 UREĐAJI, STROJEVI  I OPREMA ZA OSTALE NAMJENE</t>
  </si>
  <si>
    <t>KOMORA ZA DUBOKO ZAMRZAVANJE HRANE</t>
  </si>
  <si>
    <t>LEDOMAT SAUNA</t>
  </si>
  <si>
    <t>TEUT ČELIČNI REGAL WELLNESS</t>
  </si>
  <si>
    <t>MINI BAR DUBRAVA - 5 KOM</t>
  </si>
  <si>
    <t>VISOKOTLAČNI PERAČ</t>
  </si>
  <si>
    <t>SUŠILICA RUBLJA</t>
  </si>
  <si>
    <t>RAZNA OPREMA</t>
  </si>
  <si>
    <r>
      <rPr>
        <b/>
        <sz val="12"/>
        <color theme="1"/>
        <rFont val="Times New Roman"/>
        <family val="1"/>
        <charset val="238"/>
      </rPr>
      <t>THALASSOTHERAPIA OPATIJA - KAPITALNE INVESTICIJE 2021.GODINE
PROGRAM: INVESTICIJE U ZDRAVSTVENU INFRASTRUKTURU
K 420802 - Ulaganje i opremanje objekta</t>
    </r>
    <r>
      <rPr>
        <b/>
        <sz val="12"/>
        <color theme="1"/>
        <rFont val="Calibri"/>
        <family val="2"/>
        <charset val="238"/>
        <scheme val="minor"/>
      </rPr>
      <t xml:space="preserve">
</t>
    </r>
  </si>
  <si>
    <r>
      <t xml:space="preserve">   ZDRAVSTVENA USTANOVA</t>
    </r>
    <r>
      <rPr>
        <b/>
        <sz val="10"/>
        <color indexed="8"/>
        <rFont val="Arial"/>
        <family val="2"/>
        <charset val="238"/>
      </rPr>
      <t xml:space="preserve">                                                                                             </t>
    </r>
  </si>
  <si>
    <t>THALASSOTHERAPIA OPATIJA</t>
  </si>
  <si>
    <t>OBVEZE</t>
  </si>
  <si>
    <t>- kn</t>
  </si>
  <si>
    <t>O P I S</t>
  </si>
  <si>
    <t>Ukupne obveze na dan 31.12.2021.</t>
  </si>
  <si>
    <t>Ukupno dospjele obveze</t>
  </si>
  <si>
    <t>Dospjele obveze do 60 dana</t>
  </si>
  <si>
    <t>Dospjele obveze od 61 do 90 dana</t>
  </si>
  <si>
    <t>Dospjele obveze od 91 do 120 dana</t>
  </si>
  <si>
    <t>Dospjele obveze od 121 do 150 dana</t>
  </si>
  <si>
    <t>Dospjele obveze od 151 do 180 dana</t>
  </si>
  <si>
    <t>Dospjele obveze od 181 do 365 dana</t>
  </si>
  <si>
    <t>Dospjele obveze od 366 do 730 dana</t>
  </si>
  <si>
    <t>Dospjele obveze preko 730 dana</t>
  </si>
  <si>
    <t>Koliko dana kasni najstarija dospjela obveza (u danima)</t>
  </si>
  <si>
    <t>Za lijekove</t>
  </si>
  <si>
    <t>Za sanitetski materijal, krvi i krvne derivate i sl.</t>
  </si>
  <si>
    <t>Za živežne namirnice</t>
  </si>
  <si>
    <t>Za energiju</t>
  </si>
  <si>
    <t>Za ostale materijale i reprodukcijski  materijal</t>
  </si>
  <si>
    <t>Za proizvodne i neproizvodne usluge</t>
  </si>
  <si>
    <t>Za opremu ( osnovna sredstva)</t>
  </si>
  <si>
    <t>Obveze prema zaposlenicima</t>
  </si>
  <si>
    <t xml:space="preserve">Obveze za usluge drugih zdravstvenih ustanova                                   </t>
  </si>
  <si>
    <t>Obveze prema komitentnim bankama za kredite</t>
  </si>
  <si>
    <t>Ostale nespomenute obveze</t>
  </si>
  <si>
    <t>Obveze prema HZZO za manje izvršen rad</t>
  </si>
  <si>
    <r>
      <t xml:space="preserve"> SVEUKUPNE OBVEZE</t>
    </r>
    <r>
      <rPr>
        <sz val="9"/>
        <color indexed="8"/>
        <rFont val="Arial"/>
        <family val="2"/>
        <charset val="238"/>
      </rPr>
      <t>:</t>
    </r>
  </si>
  <si>
    <t>Napomena: Dospjele obveze po ročnosti trebaju odgovarati koloni 2 (ukupne dospjele obveze)</t>
  </si>
  <si>
    <t>Dani dospjelosti ne računaju se od dana izdavanja računa, nego od dana dospjelosti računa</t>
  </si>
  <si>
    <t>TABLICA 1</t>
  </si>
  <si>
    <t>TABLICA 2</t>
  </si>
  <si>
    <t>TABLICA 3</t>
  </si>
  <si>
    <t>TABLICA 4</t>
  </si>
  <si>
    <t>TABLICA 5</t>
  </si>
  <si>
    <t>TABLICA 6</t>
  </si>
  <si>
    <t>TABLICA 7</t>
  </si>
  <si>
    <t>TABLICA 8</t>
  </si>
  <si>
    <t>TABLICA 9</t>
  </si>
  <si>
    <t>TABLICA 10</t>
  </si>
  <si>
    <t>TABLICA 11</t>
  </si>
  <si>
    <t>TABLICA 12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</si>
</sst>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-* #,##0.00\ _k_n_-;\-* #,##0.00\ _k_n_-;_-* &quot;-&quot;??\ _k_n_-;_-@_-"/>
    <numFmt numFmtId="165" formatCode="_-* #,##0\ _k_n_-;\-* #,##0\ _k_n_-;_-* &quot;-&quot;??\ _k_n_-;_-@_-"/>
    <numFmt numFmtId="166" formatCode="_-* #,##0\ _k_n_-;\-* #,##0\ _k_n_-;_-* &quot;-&quot;\ _k_n_-;_-@_-"/>
    <numFmt numFmtId="167" formatCode="#,##0.00\ [$kn-41A]"/>
    <numFmt numFmtId="168" formatCode="_-* #,##0.00\ [$kn-41A]_-;\-* #,##0.00\ [$kn-41A]_-;_-* &quot;-&quot;??\ [$kn-41A]_-;_-@_-"/>
    <numFmt numFmtId="169" formatCode="_-* #,##0.000\ [$kn-41A]_-;\-* #,##0.000\ [$kn-41A]_-;_-* &quot;-&quot;??\ [$kn-41A]_-;_-@_-"/>
    <numFmt numFmtId="170" formatCode="#,##0.00\ &quot;kn&quot;;[Red]\-#,##0.00\ &quot;kn&quot;"/>
  </numFmts>
  <fonts count="8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strike/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2"/>
      <name val="Arial"/>
      <family val="2"/>
      <charset val="238"/>
    </font>
    <font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</font>
    <font>
      <sz val="12"/>
      <color theme="1"/>
      <name val="Calibri"/>
      <family val="2"/>
      <scheme val="minor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theme="1"/>
      <name val="Times New Roman"/>
      <family val="1"/>
    </font>
    <font>
      <sz val="14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u/>
      <sz val="12"/>
      <color theme="1"/>
      <name val="Times New Roman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D4F8"/>
        <bgColor indexed="64"/>
      </patternFill>
    </fill>
    <fill>
      <patternFill patternType="solid">
        <fgColor rgb="FFEDEFA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D8DDF4"/>
        <bgColor indexed="64"/>
      </patternFill>
    </fill>
  </fills>
  <borders count="8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0">
    <xf numFmtId="0" fontId="0" fillId="0" borderId="0"/>
    <xf numFmtId="0" fontId="5" fillId="0" borderId="0"/>
    <xf numFmtId="0" fontId="7" fillId="0" borderId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7" fillId="0" borderId="0"/>
    <xf numFmtId="0" fontId="1" fillId="0" borderId="0"/>
    <xf numFmtId="43" fontId="1" fillId="0" borderId="0" applyFont="0" applyFill="0" applyBorder="0" applyAlignment="0" applyProtection="0"/>
    <xf numFmtId="0" fontId="47" fillId="0" borderId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5" borderId="0" applyNumberFormat="0" applyBorder="0" applyAlignment="0" applyProtection="0"/>
    <xf numFmtId="0" fontId="7" fillId="27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27" borderId="0" applyNumberFormat="0" applyBorder="0" applyAlignment="0" applyProtection="0"/>
    <xf numFmtId="0" fontId="7" fillId="25" borderId="0" applyNumberFormat="0" applyBorder="0" applyAlignment="0" applyProtection="0"/>
    <xf numFmtId="0" fontId="49" fillId="27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29" borderId="0" applyNumberFormat="0" applyBorder="0" applyAlignment="0" applyProtection="0"/>
    <xf numFmtId="0" fontId="49" fillId="27" borderId="0" applyNumberFormat="0" applyBorder="0" applyAlignment="0" applyProtection="0"/>
    <xf numFmtId="0" fontId="49" fillId="24" borderId="0" applyNumberFormat="0" applyBorder="0" applyAlignment="0" applyProtection="0"/>
    <xf numFmtId="0" fontId="49" fillId="32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3" borderId="0" applyNumberFormat="0" applyBorder="0" applyAlignment="0" applyProtection="0"/>
    <xf numFmtId="0" fontId="49" fillId="34" borderId="0" applyNumberFormat="0" applyBorder="0" applyAlignment="0" applyProtection="0"/>
    <xf numFmtId="0" fontId="49" fillId="35" borderId="0" applyNumberFormat="0" applyBorder="0" applyAlignment="0" applyProtection="0"/>
    <xf numFmtId="0" fontId="50" fillId="36" borderId="0" applyNumberFormat="0" applyBorder="0" applyAlignment="0" applyProtection="0"/>
    <xf numFmtId="0" fontId="51" fillId="37" borderId="74" applyNumberFormat="0" applyAlignment="0" applyProtection="0"/>
    <xf numFmtId="0" fontId="52" fillId="38" borderId="75" applyNumberFormat="0" applyAlignment="0" applyProtection="0"/>
    <xf numFmtId="0" fontId="53" fillId="0" borderId="0" applyNumberFormat="0" applyFill="0" applyBorder="0" applyAlignment="0" applyProtection="0"/>
    <xf numFmtId="0" fontId="54" fillId="27" borderId="0" applyNumberFormat="0" applyBorder="0" applyAlignment="0" applyProtection="0"/>
    <xf numFmtId="0" fontId="55" fillId="0" borderId="76" applyNumberFormat="0" applyFill="0" applyAlignment="0" applyProtection="0"/>
    <xf numFmtId="0" fontId="56" fillId="0" borderId="77" applyNumberFormat="0" applyFill="0" applyAlignment="0" applyProtection="0"/>
    <xf numFmtId="0" fontId="57" fillId="0" borderId="78" applyNumberFormat="0" applyFill="0" applyAlignment="0" applyProtection="0"/>
    <xf numFmtId="0" fontId="57" fillId="0" borderId="0" applyNumberFormat="0" applyFill="0" applyBorder="0" applyAlignment="0" applyProtection="0"/>
    <xf numFmtId="0" fontId="58" fillId="28" borderId="74" applyNumberFormat="0" applyAlignment="0" applyProtection="0"/>
    <xf numFmtId="0" fontId="59" fillId="0" borderId="79" applyNumberFormat="0" applyFill="0" applyAlignment="0" applyProtection="0"/>
    <xf numFmtId="0" fontId="60" fillId="28" borderId="0" applyNumberFormat="0" applyBorder="0" applyAlignment="0" applyProtection="0"/>
    <xf numFmtId="0" fontId="61" fillId="0" borderId="0"/>
    <xf numFmtId="0" fontId="3" fillId="0" borderId="0"/>
    <xf numFmtId="0" fontId="61" fillId="25" borderId="80" applyNumberFormat="0" applyFont="0" applyAlignment="0" applyProtection="0"/>
    <xf numFmtId="0" fontId="61" fillId="0" borderId="0"/>
    <xf numFmtId="0" fontId="61" fillId="0" borderId="0"/>
    <xf numFmtId="0" fontId="5" fillId="0" borderId="0"/>
    <xf numFmtId="0" fontId="5" fillId="0" borderId="0"/>
    <xf numFmtId="0" fontId="62" fillId="37" borderId="81" applyNumberFormat="0" applyAlignment="0" applyProtection="0"/>
    <xf numFmtId="0" fontId="63" fillId="0" borderId="0" applyNumberFormat="0" applyFill="0" applyBorder="0" applyAlignment="0" applyProtection="0"/>
    <xf numFmtId="0" fontId="64" fillId="0" borderId="82" applyNumberFormat="0" applyFill="0" applyAlignment="0" applyProtection="0"/>
    <xf numFmtId="0" fontId="59" fillId="0" borderId="0" applyNumberFormat="0" applyFill="0" applyBorder="0" applyAlignment="0" applyProtection="0"/>
    <xf numFmtId="0" fontId="69" fillId="0" borderId="0"/>
    <xf numFmtId="0" fontId="73" fillId="0" borderId="0"/>
  </cellStyleXfs>
  <cellXfs count="679">
    <xf numFmtId="0" fontId="0" fillId="0" borderId="0" xfId="0"/>
    <xf numFmtId="0" fontId="6" fillId="0" borderId="0" xfId="1" applyFont="1" applyBorder="1"/>
    <xf numFmtId="0" fontId="8" fillId="0" borderId="0" xfId="2" applyFont="1"/>
    <xf numFmtId="0" fontId="9" fillId="2" borderId="1" xfId="2" applyFont="1" applyFill="1" applyBorder="1"/>
    <xf numFmtId="0" fontId="10" fillId="2" borderId="2" xfId="2" applyFont="1" applyFill="1" applyBorder="1"/>
    <xf numFmtId="0" fontId="11" fillId="0" borderId="0" xfId="0" applyFont="1"/>
    <xf numFmtId="0" fontId="12" fillId="0" borderId="0" xfId="2" applyFont="1" applyFill="1" applyBorder="1"/>
    <xf numFmtId="0" fontId="2" fillId="0" borderId="0" xfId="0" applyFont="1"/>
    <xf numFmtId="0" fontId="13" fillId="3" borderId="0" xfId="1" applyFont="1" applyFill="1" applyBorder="1"/>
    <xf numFmtId="0" fontId="13" fillId="0" borderId="0" xfId="1" applyFont="1" applyFill="1" applyBorder="1"/>
    <xf numFmtId="0" fontId="14" fillId="0" borderId="0" xfId="1" applyFont="1" applyBorder="1"/>
    <xf numFmtId="0" fontId="10" fillId="0" borderId="0" xfId="2" applyFont="1" applyFill="1" applyBorder="1"/>
    <xf numFmtId="0" fontId="14" fillId="0" borderId="3" xfId="1" applyFont="1" applyFill="1" applyBorder="1" applyAlignment="1">
      <alignment horizontal="left"/>
    </xf>
    <xf numFmtId="0" fontId="13" fillId="0" borderId="3" xfId="1" applyFont="1" applyBorder="1" applyAlignment="1">
      <alignment horizontal="center" wrapText="1"/>
    </xf>
    <xf numFmtId="3" fontId="14" fillId="0" borderId="4" xfId="1" applyNumberFormat="1" applyFont="1" applyBorder="1" applyAlignment="1">
      <alignment horizontal="center" wrapText="1"/>
    </xf>
    <xf numFmtId="3" fontId="14" fillId="0" borderId="5" xfId="1" applyNumberFormat="1" applyFont="1" applyBorder="1" applyAlignment="1">
      <alignment horizontal="center" wrapText="1"/>
    </xf>
    <xf numFmtId="3" fontId="14" fillId="0" borderId="6" xfId="1" applyNumberFormat="1" applyFont="1" applyBorder="1" applyAlignment="1">
      <alignment horizontal="center" wrapText="1"/>
    </xf>
    <xf numFmtId="3" fontId="13" fillId="0" borderId="7" xfId="1" applyNumberFormat="1" applyFont="1" applyBorder="1" applyAlignment="1">
      <alignment horizontal="center" wrapText="1"/>
    </xf>
    <xf numFmtId="0" fontId="13" fillId="0" borderId="8" xfId="1" applyFont="1" applyBorder="1" applyAlignment="1">
      <alignment horizontal="center"/>
    </xf>
    <xf numFmtId="0" fontId="15" fillId="0" borderId="7" xfId="2" applyFont="1" applyBorder="1" applyAlignment="1">
      <alignment horizontal="center" wrapText="1"/>
    </xf>
    <xf numFmtId="0" fontId="17" fillId="0" borderId="7" xfId="2" applyFont="1" applyBorder="1" applyAlignment="1">
      <alignment horizontal="center" wrapText="1"/>
    </xf>
    <xf numFmtId="0" fontId="17" fillId="0" borderId="0" xfId="2" applyFont="1" applyBorder="1" applyAlignment="1">
      <alignment horizontal="center"/>
    </xf>
    <xf numFmtId="0" fontId="18" fillId="0" borderId="7" xfId="1" applyFont="1" applyBorder="1" applyAlignment="1">
      <alignment horizontal="center" wrapText="1"/>
    </xf>
    <xf numFmtId="0" fontId="4" fillId="0" borderId="7" xfId="0" applyFont="1" applyBorder="1" applyAlignment="1">
      <alignment wrapText="1"/>
    </xf>
    <xf numFmtId="0" fontId="13" fillId="5" borderId="3" xfId="0" applyFont="1" applyFill="1" applyBorder="1" applyAlignment="1">
      <alignment wrapText="1"/>
    </xf>
    <xf numFmtId="0" fontId="13" fillId="0" borderId="7" xfId="0" applyFont="1" applyBorder="1"/>
    <xf numFmtId="165" fontId="13" fillId="0" borderId="7" xfId="3" applyNumberFormat="1" applyFont="1" applyBorder="1"/>
    <xf numFmtId="0" fontId="13" fillId="0" borderId="8" xfId="0" applyFont="1" applyBorder="1"/>
    <xf numFmtId="0" fontId="13" fillId="0" borderId="8" xfId="0" applyFont="1" applyFill="1" applyBorder="1"/>
    <xf numFmtId="0" fontId="17" fillId="0" borderId="9" xfId="2" applyFont="1" applyBorder="1" applyAlignment="1">
      <alignment horizontal="center"/>
    </xf>
    <xf numFmtId="14" fontId="19" fillId="0" borderId="3" xfId="1" applyNumberFormat="1" applyFont="1" applyBorder="1" applyAlignment="1">
      <alignment horizontal="left"/>
    </xf>
    <xf numFmtId="4" fontId="19" fillId="0" borderId="3" xfId="4" applyNumberFormat="1" applyFont="1" applyBorder="1" applyAlignment="1">
      <alignment horizontal="center"/>
    </xf>
    <xf numFmtId="4" fontId="20" fillId="0" borderId="4" xfId="4" applyNumberFormat="1" applyFont="1" applyBorder="1" applyAlignment="1">
      <alignment horizontal="center"/>
    </xf>
    <xf numFmtId="4" fontId="20" fillId="0" borderId="5" xfId="4" applyNumberFormat="1" applyFont="1" applyBorder="1" applyAlignment="1">
      <alignment horizontal="center"/>
    </xf>
    <xf numFmtId="4" fontId="20" fillId="0" borderId="6" xfId="4" applyNumberFormat="1" applyFont="1" applyBorder="1" applyAlignment="1">
      <alignment horizontal="center"/>
    </xf>
    <xf numFmtId="4" fontId="20" fillId="0" borderId="7" xfId="4" applyNumberFormat="1" applyFont="1" applyBorder="1" applyAlignment="1">
      <alignment horizontal="center"/>
    </xf>
    <xf numFmtId="4" fontId="19" fillId="0" borderId="10" xfId="1" applyNumberFormat="1" applyFont="1" applyBorder="1" applyAlignment="1">
      <alignment horizontal="center"/>
    </xf>
    <xf numFmtId="4" fontId="21" fillId="0" borderId="11" xfId="2" applyNumberFormat="1" applyFont="1" applyBorder="1" applyAlignment="1"/>
    <xf numFmtId="4" fontId="21" fillId="0" borderId="8" xfId="2" applyNumberFormat="1" applyFont="1" applyBorder="1" applyAlignment="1"/>
    <xf numFmtId="4" fontId="22" fillId="0" borderId="11" xfId="1" applyNumberFormat="1" applyFont="1" applyBorder="1" applyAlignment="1">
      <alignment horizontal="center"/>
    </xf>
    <xf numFmtId="4" fontId="23" fillId="0" borderId="11" xfId="0" applyNumberFormat="1" applyFont="1" applyBorder="1" applyAlignment="1"/>
    <xf numFmtId="0" fontId="24" fillId="0" borderId="0" xfId="0" applyFont="1" applyAlignment="1"/>
    <xf numFmtId="14" fontId="19" fillId="0" borderId="11" xfId="1" applyNumberFormat="1" applyFont="1" applyBorder="1" applyAlignment="1">
      <alignment horizontal="left"/>
    </xf>
    <xf numFmtId="4" fontId="20" fillId="0" borderId="11" xfId="0" applyNumberFormat="1" applyFont="1" applyBorder="1" applyAlignment="1"/>
    <xf numFmtId="4" fontId="20" fillId="0" borderId="11" xfId="3" applyNumberFormat="1" applyFont="1" applyBorder="1" applyAlignment="1"/>
    <xf numFmtId="4" fontId="20" fillId="0" borderId="10" xfId="0" applyNumberFormat="1" applyFont="1" applyBorder="1" applyAlignment="1"/>
    <xf numFmtId="4" fontId="20" fillId="0" borderId="12" xfId="0" applyNumberFormat="1" applyFont="1" applyBorder="1" applyAlignment="1"/>
    <xf numFmtId="0" fontId="24" fillId="0" borderId="13" xfId="0" applyFont="1" applyBorder="1" applyAlignment="1"/>
    <xf numFmtId="3" fontId="19" fillId="0" borderId="11" xfId="0" applyNumberFormat="1" applyFont="1" applyFill="1" applyBorder="1" applyAlignment="1"/>
    <xf numFmtId="49" fontId="20" fillId="0" borderId="14" xfId="1" applyNumberFormat="1" applyFont="1" applyBorder="1" applyAlignment="1"/>
    <xf numFmtId="4" fontId="19" fillId="0" borderId="14" xfId="4" applyNumberFormat="1" applyFont="1" applyBorder="1" applyAlignment="1">
      <alignment horizontal="center"/>
    </xf>
    <xf numFmtId="4" fontId="20" fillId="0" borderId="15" xfId="4" applyNumberFormat="1" applyFont="1" applyBorder="1" applyAlignment="1">
      <alignment horizontal="center"/>
    </xf>
    <xf numFmtId="4" fontId="20" fillId="0" borderId="16" xfId="1" applyNumberFormat="1" applyFont="1" applyBorder="1" applyAlignment="1">
      <alignment horizontal="center"/>
    </xf>
    <xf numFmtId="4" fontId="20" fillId="0" borderId="17" xfId="4" applyNumberFormat="1" applyFont="1" applyBorder="1" applyAlignment="1">
      <alignment horizontal="center"/>
    </xf>
    <xf numFmtId="4" fontId="19" fillId="0" borderId="18" xfId="4" applyNumberFormat="1" applyFont="1" applyBorder="1" applyAlignment="1">
      <alignment horizontal="center"/>
    </xf>
    <xf numFmtId="4" fontId="22" fillId="0" borderId="19" xfId="1" applyNumberFormat="1" applyFont="1" applyBorder="1" applyAlignment="1">
      <alignment horizontal="center"/>
    </xf>
    <xf numFmtId="4" fontId="21" fillId="0" borderId="18" xfId="2" applyNumberFormat="1" applyFont="1" applyBorder="1" applyAlignment="1">
      <alignment horizontal="center"/>
    </xf>
    <xf numFmtId="4" fontId="21" fillId="0" borderId="20" xfId="2" applyNumberFormat="1" applyFont="1" applyBorder="1" applyAlignment="1">
      <alignment horizontal="center"/>
    </xf>
    <xf numFmtId="4" fontId="22" fillId="0" borderId="18" xfId="4" applyNumberFormat="1" applyFont="1" applyBorder="1" applyAlignment="1">
      <alignment horizontal="center"/>
    </xf>
    <xf numFmtId="4" fontId="25" fillId="0" borderId="18" xfId="0" applyNumberFormat="1" applyFont="1" applyBorder="1" applyAlignment="1">
      <alignment horizontal="center"/>
    </xf>
    <xf numFmtId="4" fontId="20" fillId="0" borderId="18" xfId="0" applyNumberFormat="1" applyFont="1" applyBorder="1" applyAlignment="1"/>
    <xf numFmtId="4" fontId="20" fillId="0" borderId="18" xfId="3" applyNumberFormat="1" applyFont="1" applyBorder="1" applyAlignment="1"/>
    <xf numFmtId="4" fontId="20" fillId="0" borderId="19" xfId="0" applyNumberFormat="1" applyFont="1" applyBorder="1" applyAlignment="1"/>
    <xf numFmtId="4" fontId="20" fillId="0" borderId="21" xfId="0" applyNumberFormat="1" applyFont="1" applyBorder="1" applyAlignment="1"/>
    <xf numFmtId="0" fontId="21" fillId="0" borderId="14" xfId="2" applyFont="1" applyBorder="1" applyAlignment="1">
      <alignment horizontal="center"/>
    </xf>
    <xf numFmtId="3" fontId="19" fillId="0" borderId="18" xfId="0" applyNumberFormat="1" applyFont="1" applyFill="1" applyBorder="1" applyAlignment="1"/>
    <xf numFmtId="4" fontId="21" fillId="0" borderId="19" xfId="2" applyNumberFormat="1" applyFont="1" applyBorder="1" applyAlignment="1">
      <alignment horizontal="center"/>
    </xf>
    <xf numFmtId="49" fontId="20" fillId="0" borderId="22" xfId="1" applyNumberFormat="1" applyFont="1" applyBorder="1" applyAlignment="1"/>
    <xf numFmtId="4" fontId="19" fillId="0" borderId="22" xfId="4" applyNumberFormat="1" applyFont="1" applyBorder="1" applyAlignment="1">
      <alignment horizontal="center"/>
    </xf>
    <xf numFmtId="4" fontId="20" fillId="0" borderId="23" xfId="4" applyNumberFormat="1" applyFont="1" applyBorder="1" applyAlignment="1">
      <alignment horizontal="center"/>
    </xf>
    <xf numFmtId="4" fontId="20" fillId="0" borderId="24" xfId="1" applyNumberFormat="1" applyFont="1" applyBorder="1" applyAlignment="1">
      <alignment horizontal="center"/>
    </xf>
    <xf numFmtId="4" fontId="20" fillId="0" borderId="25" xfId="4" applyNumberFormat="1" applyFont="1" applyBorder="1" applyAlignment="1">
      <alignment horizontal="center"/>
    </xf>
    <xf numFmtId="4" fontId="19" fillId="0" borderId="26" xfId="4" applyNumberFormat="1" applyFont="1" applyBorder="1" applyAlignment="1">
      <alignment horizontal="center"/>
    </xf>
    <xf numFmtId="4" fontId="22" fillId="0" borderId="25" xfId="1" applyNumberFormat="1" applyFont="1" applyBorder="1" applyAlignment="1">
      <alignment horizontal="center"/>
    </xf>
    <xf numFmtId="4" fontId="21" fillId="0" borderId="26" xfId="2" applyNumberFormat="1" applyFont="1" applyBorder="1" applyAlignment="1">
      <alignment horizontal="center"/>
    </xf>
    <xf numFmtId="4" fontId="21" fillId="0" borderId="25" xfId="2" applyNumberFormat="1" applyFont="1" applyBorder="1" applyAlignment="1">
      <alignment horizontal="center"/>
    </xf>
    <xf numFmtId="4" fontId="22" fillId="0" borderId="26" xfId="4" applyNumberFormat="1" applyFont="1" applyBorder="1" applyAlignment="1">
      <alignment horizontal="center"/>
    </xf>
    <xf numFmtId="4" fontId="25" fillId="0" borderId="26" xfId="0" applyNumberFormat="1" applyFont="1" applyBorder="1" applyAlignment="1">
      <alignment horizontal="center"/>
    </xf>
    <xf numFmtId="4" fontId="20" fillId="0" borderId="26" xfId="0" applyNumberFormat="1" applyFont="1" applyBorder="1" applyAlignment="1"/>
    <xf numFmtId="4" fontId="20" fillId="0" borderId="27" xfId="0" applyNumberFormat="1" applyFont="1" applyBorder="1" applyAlignment="1"/>
    <xf numFmtId="4" fontId="20" fillId="0" borderId="26" xfId="3" applyNumberFormat="1" applyFont="1" applyBorder="1" applyAlignment="1"/>
    <xf numFmtId="4" fontId="20" fillId="0" borderId="25" xfId="0" applyNumberFormat="1" applyFont="1" applyBorder="1" applyAlignment="1"/>
    <xf numFmtId="0" fontId="21" fillId="0" borderId="25" xfId="2" applyFont="1" applyBorder="1" applyAlignment="1">
      <alignment horizontal="center"/>
    </xf>
    <xf numFmtId="3" fontId="19" fillId="0" borderId="26" xfId="0" applyNumberFormat="1" applyFont="1" applyFill="1" applyBorder="1" applyAlignment="1"/>
    <xf numFmtId="16" fontId="20" fillId="0" borderId="28" xfId="1" applyNumberFormat="1" applyFont="1" applyBorder="1" applyAlignment="1">
      <alignment horizontal="left"/>
    </xf>
    <xf numFmtId="3" fontId="26" fillId="0" borderId="28" xfId="4" applyNumberFormat="1" applyFont="1" applyBorder="1" applyAlignment="1">
      <alignment horizontal="center"/>
    </xf>
    <xf numFmtId="3" fontId="26" fillId="0" borderId="29" xfId="4" applyNumberFormat="1" applyFont="1" applyBorder="1" applyAlignment="1">
      <alignment horizontal="center"/>
    </xf>
    <xf numFmtId="3" fontId="26" fillId="0" borderId="30" xfId="4" applyNumberFormat="1" applyFont="1" applyBorder="1" applyAlignment="1">
      <alignment horizontal="center"/>
    </xf>
    <xf numFmtId="3" fontId="26" fillId="0" borderId="20" xfId="4" applyNumberFormat="1" applyFont="1" applyBorder="1" applyAlignment="1">
      <alignment horizontal="center"/>
    </xf>
    <xf numFmtId="3" fontId="26" fillId="0" borderId="31" xfId="4" applyNumberFormat="1" applyFont="1" applyBorder="1" applyAlignment="1">
      <alignment horizontal="center"/>
    </xf>
    <xf numFmtId="3" fontId="18" fillId="0" borderId="20" xfId="1" applyNumberFormat="1" applyFont="1" applyBorder="1" applyAlignment="1">
      <alignment horizontal="center"/>
    </xf>
    <xf numFmtId="165" fontId="15" fillId="0" borderId="31" xfId="5" applyNumberFormat="1" applyFont="1" applyBorder="1" applyAlignment="1">
      <alignment horizontal="center"/>
    </xf>
    <xf numFmtId="3" fontId="17" fillId="0" borderId="31" xfId="2" applyNumberFormat="1" applyFont="1" applyBorder="1" applyAlignment="1">
      <alignment horizontal="center"/>
    </xf>
    <xf numFmtId="3" fontId="17" fillId="0" borderId="0" xfId="2" applyNumberFormat="1" applyFont="1" applyBorder="1" applyAlignment="1">
      <alignment horizontal="center"/>
    </xf>
    <xf numFmtId="3" fontId="26" fillId="0" borderId="31" xfId="1" applyNumberFormat="1" applyFont="1" applyBorder="1" applyAlignment="1">
      <alignment horizontal="center"/>
    </xf>
    <xf numFmtId="3" fontId="2" fillId="0" borderId="31" xfId="0" applyNumberFormat="1" applyFont="1" applyBorder="1" applyAlignment="1">
      <alignment horizontal="center"/>
    </xf>
    <xf numFmtId="165" fontId="0" fillId="0" borderId="0" xfId="0" applyNumberFormat="1"/>
    <xf numFmtId="3" fontId="24" fillId="0" borderId="31" xfId="0" applyNumberFormat="1" applyFont="1" applyBorder="1"/>
    <xf numFmtId="3" fontId="24" fillId="0" borderId="32" xfId="0" applyNumberFormat="1" applyFont="1" applyBorder="1"/>
    <xf numFmtId="3" fontId="24" fillId="0" borderId="31" xfId="3" applyNumberFormat="1" applyFont="1" applyBorder="1"/>
    <xf numFmtId="3" fontId="24" fillId="0" borderId="28" xfId="0" applyNumberFormat="1" applyFont="1" applyBorder="1"/>
    <xf numFmtId="4" fontId="23" fillId="0" borderId="31" xfId="0" applyNumberFormat="1" applyFont="1" applyBorder="1"/>
    <xf numFmtId="3" fontId="11" fillId="0" borderId="20" xfId="0" applyNumberFormat="1" applyFont="1" applyBorder="1" applyAlignment="1">
      <alignment horizontal="center"/>
    </xf>
    <xf numFmtId="3" fontId="24" fillId="0" borderId="31" xfId="0" applyNumberFormat="1" applyFont="1" applyFill="1" applyBorder="1" applyAlignment="1">
      <alignment horizontal="right"/>
    </xf>
    <xf numFmtId="0" fontId="20" fillId="0" borderId="14" xfId="1" applyFont="1" applyBorder="1" applyAlignment="1">
      <alignment horizontal="left"/>
    </xf>
    <xf numFmtId="3" fontId="26" fillId="0" borderId="15" xfId="4" applyNumberFormat="1" applyFont="1" applyBorder="1" applyAlignment="1">
      <alignment horizontal="center"/>
    </xf>
    <xf numFmtId="3" fontId="26" fillId="0" borderId="18" xfId="4" applyNumberFormat="1" applyFont="1" applyBorder="1" applyAlignment="1">
      <alignment horizontal="center"/>
    </xf>
    <xf numFmtId="3" fontId="26" fillId="0" borderId="18" xfId="1" applyNumberFormat="1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16" fontId="20" fillId="0" borderId="14" xfId="1" applyNumberFormat="1" applyFont="1" applyBorder="1" applyAlignment="1">
      <alignment horizontal="left"/>
    </xf>
    <xf numFmtId="3" fontId="26" fillId="0" borderId="29" xfId="4" applyNumberFormat="1" applyFont="1" applyFill="1" applyBorder="1" applyAlignment="1">
      <alignment horizontal="center"/>
    </xf>
    <xf numFmtId="3" fontId="26" fillId="0" borderId="30" xfId="4" applyNumberFormat="1" applyFont="1" applyFill="1" applyBorder="1" applyAlignment="1">
      <alignment horizontal="center"/>
    </xf>
    <xf numFmtId="3" fontId="2" fillId="0" borderId="18" xfId="0" applyNumberFormat="1" applyFont="1" applyFill="1" applyBorder="1" applyAlignment="1">
      <alignment horizontal="center"/>
    </xf>
    <xf numFmtId="3" fontId="24" fillId="0" borderId="18" xfId="0" applyNumberFormat="1" applyFont="1" applyFill="1" applyBorder="1" applyAlignment="1">
      <alignment horizontal="right"/>
    </xf>
    <xf numFmtId="3" fontId="26" fillId="0" borderId="14" xfId="4" applyNumberFormat="1" applyFont="1" applyBorder="1" applyAlignment="1">
      <alignment horizontal="center"/>
    </xf>
    <xf numFmtId="3" fontId="18" fillId="0" borderId="19" xfId="1" applyNumberFormat="1" applyFont="1" applyBorder="1" applyAlignment="1">
      <alignment horizontal="center"/>
    </xf>
    <xf numFmtId="16" fontId="20" fillId="0" borderId="14" xfId="1" applyNumberFormat="1" applyFont="1" applyFill="1" applyBorder="1" applyAlignment="1">
      <alignment horizontal="left"/>
    </xf>
    <xf numFmtId="3" fontId="26" fillId="0" borderId="14" xfId="4" applyNumberFormat="1" applyFont="1" applyFill="1" applyBorder="1" applyAlignment="1">
      <alignment horizontal="center"/>
    </xf>
    <xf numFmtId="3" fontId="26" fillId="0" borderId="15" xfId="4" applyNumberFormat="1" applyFont="1" applyFill="1" applyBorder="1" applyAlignment="1">
      <alignment horizontal="center"/>
    </xf>
    <xf numFmtId="3" fontId="26" fillId="0" borderId="20" xfId="4" applyNumberFormat="1" applyFont="1" applyFill="1" applyBorder="1" applyAlignment="1">
      <alignment horizontal="center"/>
    </xf>
    <xf numFmtId="3" fontId="26" fillId="0" borderId="16" xfId="4" applyNumberFormat="1" applyFont="1" applyFill="1" applyBorder="1" applyAlignment="1">
      <alignment horizontal="center"/>
    </xf>
    <xf numFmtId="3" fontId="26" fillId="0" borderId="17" xfId="4" applyNumberFormat="1" applyFont="1" applyFill="1" applyBorder="1" applyAlignment="1">
      <alignment horizontal="center"/>
    </xf>
    <xf numFmtId="3" fontId="24" fillId="0" borderId="18" xfId="0" applyNumberFormat="1" applyFont="1" applyBorder="1"/>
    <xf numFmtId="3" fontId="24" fillId="0" borderId="21" xfId="0" applyNumberFormat="1" applyFont="1" applyBorder="1"/>
    <xf numFmtId="3" fontId="24" fillId="0" borderId="14" xfId="0" applyNumberFormat="1" applyFont="1" applyBorder="1"/>
    <xf numFmtId="3" fontId="24" fillId="0" borderId="14" xfId="0" applyNumberFormat="1" applyFont="1" applyBorder="1" applyAlignment="1"/>
    <xf numFmtId="3" fontId="26" fillId="0" borderId="33" xfId="4" applyNumberFormat="1" applyFont="1" applyFill="1" applyBorder="1" applyAlignment="1">
      <alignment horizontal="center"/>
    </xf>
    <xf numFmtId="3" fontId="24" fillId="0" borderId="18" xfId="3" applyNumberFormat="1" applyFont="1" applyBorder="1"/>
    <xf numFmtId="3" fontId="17" fillId="0" borderId="0" xfId="3" applyNumberFormat="1" applyFont="1" applyBorder="1" applyAlignment="1">
      <alignment horizontal="center"/>
    </xf>
    <xf numFmtId="16" fontId="20" fillId="0" borderId="34" xfId="1" applyNumberFormat="1" applyFont="1" applyFill="1" applyBorder="1" applyAlignment="1">
      <alignment horizontal="left"/>
    </xf>
    <xf numFmtId="3" fontId="26" fillId="0" borderId="35" xfId="4" applyNumberFormat="1" applyFont="1" applyFill="1" applyBorder="1" applyAlignment="1">
      <alignment horizontal="center"/>
    </xf>
    <xf numFmtId="3" fontId="26" fillId="0" borderId="36" xfId="4" applyNumberFormat="1" applyFont="1" applyFill="1" applyBorder="1" applyAlignment="1">
      <alignment horizontal="center"/>
    </xf>
    <xf numFmtId="3" fontId="26" fillId="0" borderId="37" xfId="4" applyNumberFormat="1" applyFont="1" applyBorder="1" applyAlignment="1">
      <alignment horizontal="center"/>
    </xf>
    <xf numFmtId="3" fontId="18" fillId="0" borderId="38" xfId="1" applyNumberFormat="1" applyFont="1" applyBorder="1" applyAlignment="1">
      <alignment horizontal="center"/>
    </xf>
    <xf numFmtId="3" fontId="26" fillId="0" borderId="37" xfId="4" applyNumberFormat="1" applyFont="1" applyFill="1" applyBorder="1" applyAlignment="1">
      <alignment horizontal="center"/>
    </xf>
    <xf numFmtId="3" fontId="2" fillId="0" borderId="37" xfId="0" applyNumberFormat="1" applyFont="1" applyBorder="1" applyAlignment="1">
      <alignment horizontal="center"/>
    </xf>
    <xf numFmtId="3" fontId="24" fillId="0" borderId="37" xfId="0" applyNumberFormat="1" applyFont="1" applyBorder="1"/>
    <xf numFmtId="3" fontId="24" fillId="0" borderId="27" xfId="0" applyNumberFormat="1" applyFont="1" applyBorder="1"/>
    <xf numFmtId="3" fontId="24" fillId="0" borderId="26" xfId="0" applyNumberFormat="1" applyFont="1" applyBorder="1"/>
    <xf numFmtId="3" fontId="24" fillId="0" borderId="34" xfId="0" applyNumberFormat="1" applyFont="1" applyBorder="1"/>
    <xf numFmtId="3" fontId="24" fillId="0" borderId="39" xfId="0" applyNumberFormat="1" applyFont="1" applyBorder="1"/>
    <xf numFmtId="0" fontId="23" fillId="0" borderId="1" xfId="0" applyFont="1" applyBorder="1"/>
    <xf numFmtId="3" fontId="18" fillId="0" borderId="1" xfId="4" applyNumberFormat="1" applyFont="1" applyBorder="1" applyAlignment="1">
      <alignment horizontal="center"/>
    </xf>
    <xf numFmtId="3" fontId="26" fillId="0" borderId="40" xfId="4" applyNumberFormat="1" applyFont="1" applyBorder="1" applyAlignment="1">
      <alignment horizontal="center"/>
    </xf>
    <xf numFmtId="3" fontId="26" fillId="0" borderId="1" xfId="4" applyNumberFormat="1" applyFont="1" applyBorder="1" applyAlignment="1">
      <alignment horizontal="center"/>
    </xf>
    <xf numFmtId="3" fontId="18" fillId="0" borderId="40" xfId="4" applyNumberFormat="1" applyFont="1" applyBorder="1" applyAlignment="1">
      <alignment horizontal="center"/>
    </xf>
    <xf numFmtId="3" fontId="18" fillId="0" borderId="41" xfId="4" applyNumberFormat="1" applyFont="1" applyBorder="1" applyAlignment="1">
      <alignment horizontal="center"/>
    </xf>
    <xf numFmtId="166" fontId="10" fillId="0" borderId="40" xfId="6" applyNumberFormat="1" applyFont="1" applyBorder="1" applyAlignment="1">
      <alignment horizontal="center"/>
    </xf>
    <xf numFmtId="3" fontId="17" fillId="0" borderId="40" xfId="2" applyNumberFormat="1" applyFont="1" applyBorder="1" applyAlignment="1">
      <alignment horizontal="center"/>
    </xf>
    <xf numFmtId="3" fontId="2" fillId="0" borderId="40" xfId="0" applyNumberFormat="1" applyFont="1" applyBorder="1" applyAlignment="1">
      <alignment horizontal="center"/>
    </xf>
    <xf numFmtId="3" fontId="24" fillId="0" borderId="40" xfId="0" applyNumberFormat="1" applyFont="1" applyBorder="1"/>
    <xf numFmtId="3" fontId="24" fillId="0" borderId="2" xfId="0" applyNumberFormat="1" applyFont="1" applyBorder="1"/>
    <xf numFmtId="4" fontId="4" fillId="0" borderId="1" xfId="0" applyNumberFormat="1" applyFont="1" applyBorder="1"/>
    <xf numFmtId="3" fontId="27" fillId="0" borderId="1" xfId="0" applyNumberFormat="1" applyFont="1" applyBorder="1" applyAlignment="1">
      <alignment horizontal="center"/>
    </xf>
    <xf numFmtId="3" fontId="24" fillId="0" borderId="40" xfId="0" applyNumberFormat="1" applyFont="1" applyFill="1" applyBorder="1" applyAlignment="1">
      <alignment horizontal="right"/>
    </xf>
    <xf numFmtId="0" fontId="28" fillId="0" borderId="42" xfId="1" applyFont="1" applyBorder="1" applyAlignment="1">
      <alignment horizontal="left"/>
    </xf>
    <xf numFmtId="3" fontId="29" fillId="0" borderId="42" xfId="4" applyNumberFormat="1" applyFont="1" applyBorder="1" applyAlignment="1">
      <alignment horizontal="center"/>
    </xf>
    <xf numFmtId="3" fontId="26" fillId="0" borderId="43" xfId="4" applyNumberFormat="1" applyFont="1" applyBorder="1" applyAlignment="1">
      <alignment horizontal="center"/>
    </xf>
    <xf numFmtId="3" fontId="29" fillId="0" borderId="44" xfId="4" applyNumberFormat="1" applyFont="1" applyBorder="1" applyAlignment="1">
      <alignment horizontal="center"/>
    </xf>
    <xf numFmtId="3" fontId="29" fillId="0" borderId="0" xfId="4" applyNumberFormat="1" applyFont="1" applyBorder="1" applyAlignment="1">
      <alignment horizontal="center"/>
    </xf>
    <xf numFmtId="0" fontId="15" fillId="0" borderId="44" xfId="2" applyFont="1" applyBorder="1" applyAlignment="1">
      <alignment horizontal="center"/>
    </xf>
    <xf numFmtId="3" fontId="17" fillId="0" borderId="44" xfId="2" applyNumberFormat="1" applyFont="1" applyBorder="1" applyAlignment="1">
      <alignment horizontal="center"/>
    </xf>
    <xf numFmtId="3" fontId="29" fillId="0" borderId="44" xfId="1" applyNumberFormat="1" applyFont="1" applyBorder="1" applyAlignment="1">
      <alignment horizontal="center"/>
    </xf>
    <xf numFmtId="3" fontId="2" fillId="0" borderId="44" xfId="0" applyNumberFormat="1" applyFont="1" applyBorder="1" applyAlignment="1">
      <alignment horizontal="center"/>
    </xf>
    <xf numFmtId="0" fontId="24" fillId="0" borderId="0" xfId="0" applyFont="1"/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4" fontId="24" fillId="0" borderId="0" xfId="0" applyNumberFormat="1" applyFont="1" applyBorder="1" applyAlignment="1">
      <alignment horizontal="center"/>
    </xf>
    <xf numFmtId="0" fontId="11" fillId="0" borderId="0" xfId="0" applyFont="1" applyBorder="1"/>
    <xf numFmtId="3" fontId="2" fillId="0" borderId="44" xfId="0" applyNumberFormat="1" applyFont="1" applyBorder="1"/>
    <xf numFmtId="0" fontId="28" fillId="6" borderId="45" xfId="1" applyFont="1" applyFill="1" applyBorder="1" applyAlignment="1">
      <alignment horizontal="left"/>
    </xf>
    <xf numFmtId="3" fontId="29" fillId="6" borderId="46" xfId="4" applyNumberFormat="1" applyFont="1" applyFill="1" applyBorder="1" applyAlignment="1">
      <alignment horizontal="center"/>
    </xf>
    <xf numFmtId="3" fontId="30" fillId="6" borderId="45" xfId="4" applyNumberFormat="1" applyFont="1" applyFill="1" applyBorder="1" applyAlignment="1">
      <alignment horizontal="center"/>
    </xf>
    <xf numFmtId="3" fontId="30" fillId="0" borderId="46" xfId="4" applyNumberFormat="1" applyFont="1" applyBorder="1" applyAlignment="1">
      <alignment horizontal="center"/>
    </xf>
    <xf numFmtId="3" fontId="18" fillId="0" borderId="13" xfId="4" applyNumberFormat="1" applyFont="1" applyBorder="1" applyAlignment="1">
      <alignment horizontal="center"/>
    </xf>
    <xf numFmtId="3" fontId="26" fillId="0" borderId="11" xfId="4" applyNumberFormat="1" applyFont="1" applyBorder="1" applyAlignment="1">
      <alignment horizontal="center"/>
    </xf>
    <xf numFmtId="3" fontId="30" fillId="7" borderId="41" xfId="4" applyNumberFormat="1" applyFont="1" applyFill="1" applyBorder="1" applyAlignment="1">
      <alignment horizontal="center"/>
    </xf>
    <xf numFmtId="0" fontId="15" fillId="0" borderId="11" xfId="2" applyFont="1" applyBorder="1" applyAlignment="1">
      <alignment horizontal="center"/>
    </xf>
    <xf numFmtId="3" fontId="17" fillId="0" borderId="11" xfId="2" applyNumberFormat="1" applyFont="1" applyBorder="1" applyAlignment="1">
      <alignment horizontal="center"/>
    </xf>
    <xf numFmtId="3" fontId="22" fillId="0" borderId="11" xfId="4" applyNumberFormat="1" applyFont="1" applyBorder="1" applyAlignment="1">
      <alignment horizontal="center"/>
    </xf>
    <xf numFmtId="3" fontId="25" fillId="0" borderId="11" xfId="0" applyNumberFormat="1" applyFont="1" applyBorder="1" applyAlignment="1">
      <alignment horizontal="center"/>
    </xf>
    <xf numFmtId="0" fontId="20" fillId="6" borderId="45" xfId="1" applyFont="1" applyFill="1" applyBorder="1" applyAlignment="1">
      <alignment horizontal="left" wrapText="1"/>
    </xf>
    <xf numFmtId="3" fontId="31" fillId="0" borderId="46" xfId="4" applyNumberFormat="1" applyFont="1" applyFill="1" applyBorder="1" applyAlignment="1">
      <alignment horizontal="center"/>
    </xf>
    <xf numFmtId="4" fontId="31" fillId="0" borderId="46" xfId="4" applyNumberFormat="1" applyFont="1" applyFill="1" applyBorder="1" applyAlignment="1">
      <alignment horizontal="center"/>
    </xf>
    <xf numFmtId="3" fontId="15" fillId="0" borderId="11" xfId="2" applyNumberFormat="1" applyFont="1" applyBorder="1"/>
    <xf numFmtId="3" fontId="11" fillId="0" borderId="12" xfId="0" applyNumberFormat="1" applyFont="1" applyBorder="1"/>
    <xf numFmtId="0" fontId="28" fillId="0" borderId="23" xfId="1" applyFont="1" applyFill="1" applyBorder="1" applyAlignment="1">
      <alignment horizontal="left"/>
    </xf>
    <xf numFmtId="3" fontId="28" fillId="0" borderId="47" xfId="1" applyNumberFormat="1" applyFont="1" applyBorder="1" applyAlignment="1">
      <alignment horizontal="center"/>
    </xf>
    <xf numFmtId="3" fontId="28" fillId="0" borderId="23" xfId="1" applyNumberFormat="1" applyFont="1" applyBorder="1" applyAlignment="1">
      <alignment horizontal="center"/>
    </xf>
    <xf numFmtId="3" fontId="28" fillId="0" borderId="47" xfId="1" applyNumberFormat="1" applyFont="1" applyBorder="1" applyAlignment="1"/>
    <xf numFmtId="3" fontId="22" fillId="0" borderId="22" xfId="5" applyNumberFormat="1" applyFont="1" applyBorder="1" applyAlignment="1"/>
    <xf numFmtId="3" fontId="28" fillId="0" borderId="26" xfId="1" applyNumberFormat="1" applyFont="1" applyBorder="1" applyAlignment="1"/>
    <xf numFmtId="3" fontId="30" fillId="0" borderId="48" xfId="4" applyNumberFormat="1" applyFont="1" applyFill="1" applyBorder="1" applyAlignment="1"/>
    <xf numFmtId="0" fontId="15" fillId="0" borderId="26" xfId="2" applyFont="1" applyBorder="1" applyAlignment="1"/>
    <xf numFmtId="3" fontId="17" fillId="0" borderId="26" xfId="2" applyNumberFormat="1" applyFont="1" applyBorder="1" applyAlignment="1"/>
    <xf numFmtId="3" fontId="17" fillId="0" borderId="0" xfId="2" applyNumberFormat="1" applyFont="1" applyBorder="1" applyAlignment="1"/>
    <xf numFmtId="3" fontId="22" fillId="0" borderId="26" xfId="4" applyNumberFormat="1" applyFont="1" applyFill="1" applyBorder="1" applyAlignment="1"/>
    <xf numFmtId="3" fontId="0" fillId="0" borderId="49" xfId="0" applyNumberFormat="1" applyBorder="1"/>
    <xf numFmtId="4" fontId="0" fillId="0" borderId="49" xfId="0" applyNumberFormat="1" applyBorder="1"/>
    <xf numFmtId="3" fontId="0" fillId="0" borderId="26" xfId="0" applyNumberFormat="1" applyBorder="1"/>
    <xf numFmtId="3" fontId="0" fillId="0" borderId="27" xfId="0" applyNumberFormat="1" applyBorder="1"/>
    <xf numFmtId="0" fontId="28" fillId="0" borderId="1" xfId="1" applyFont="1" applyFill="1" applyBorder="1" applyAlignment="1">
      <alignment horizontal="left"/>
    </xf>
    <xf numFmtId="3" fontId="28" fillId="0" borderId="41" xfId="1" applyNumberFormat="1" applyFont="1" applyBorder="1" applyAlignment="1">
      <alignment horizontal="center"/>
    </xf>
    <xf numFmtId="3" fontId="29" fillId="0" borderId="41" xfId="1" applyNumberFormat="1" applyFont="1" applyBorder="1" applyAlignment="1">
      <alignment horizontal="center"/>
    </xf>
    <xf numFmtId="3" fontId="28" fillId="0" borderId="41" xfId="5" applyNumberFormat="1" applyFont="1" applyBorder="1" applyAlignment="1">
      <alignment horizontal="center"/>
    </xf>
    <xf numFmtId="3" fontId="30" fillId="8" borderId="40" xfId="4" applyNumberFormat="1" applyFont="1" applyFill="1" applyBorder="1" applyAlignment="1">
      <alignment horizontal="center"/>
    </xf>
    <xf numFmtId="0" fontId="15" fillId="0" borderId="0" xfId="2" applyFont="1" applyBorder="1" applyAlignment="1">
      <alignment horizontal="center"/>
    </xf>
    <xf numFmtId="3" fontId="22" fillId="0" borderId="0" xfId="4" applyNumberFormat="1" applyFont="1" applyFill="1" applyBorder="1" applyAlignment="1">
      <alignment horizontal="center"/>
    </xf>
    <xf numFmtId="0" fontId="28" fillId="0" borderId="0" xfId="1" applyFont="1" applyFill="1" applyBorder="1" applyAlignment="1">
      <alignment horizontal="left"/>
    </xf>
    <xf numFmtId="165" fontId="0" fillId="0" borderId="0" xfId="0" applyNumberFormat="1" applyBorder="1"/>
    <xf numFmtId="4" fontId="0" fillId="0" borderId="0" xfId="0" applyNumberFormat="1" applyBorder="1"/>
    <xf numFmtId="0" fontId="0" fillId="0" borderId="0" xfId="0" applyBorder="1"/>
    <xf numFmtId="3" fontId="0" fillId="0" borderId="0" xfId="0" applyNumberFormat="1" applyBorder="1"/>
    <xf numFmtId="165" fontId="28" fillId="0" borderId="0" xfId="1" applyNumberFormat="1" applyFont="1" applyBorder="1" applyAlignment="1">
      <alignment horizontal="center"/>
    </xf>
    <xf numFmtId="165" fontId="22" fillId="0" borderId="0" xfId="5" applyNumberFormat="1" applyFont="1" applyBorder="1" applyAlignment="1">
      <alignment horizontal="center"/>
    </xf>
    <xf numFmtId="165" fontId="30" fillId="0" borderId="0" xfId="4" applyNumberFormat="1" applyFont="1" applyFill="1" applyBorder="1" applyAlignment="1">
      <alignment horizontal="center"/>
    </xf>
    <xf numFmtId="0" fontId="15" fillId="0" borderId="0" xfId="2" applyFont="1" applyBorder="1"/>
    <xf numFmtId="0" fontId="17" fillId="0" borderId="0" xfId="2" applyFont="1" applyBorder="1"/>
    <xf numFmtId="165" fontId="22" fillId="0" borderId="0" xfId="4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3" xfId="2" applyFont="1" applyBorder="1"/>
    <xf numFmtId="0" fontId="17" fillId="0" borderId="8" xfId="2" applyFont="1" applyBorder="1"/>
    <xf numFmtId="0" fontId="17" fillId="0" borderId="9" xfId="2" applyFont="1" applyBorder="1"/>
    <xf numFmtId="0" fontId="15" fillId="0" borderId="0" xfId="2" applyFont="1"/>
    <xf numFmtId="0" fontId="17" fillId="0" borderId="0" xfId="2" applyFont="1"/>
    <xf numFmtId="0" fontId="17" fillId="0" borderId="39" xfId="2" applyFont="1" applyBorder="1"/>
    <xf numFmtId="3" fontId="17" fillId="0" borderId="16" xfId="2" applyNumberFormat="1" applyFont="1" applyBorder="1"/>
    <xf numFmtId="3" fontId="17" fillId="0" borderId="50" xfId="2" applyNumberFormat="1" applyFont="1" applyBorder="1"/>
    <xf numFmtId="0" fontId="12" fillId="0" borderId="39" xfId="2" applyFont="1" applyBorder="1"/>
    <xf numFmtId="0" fontId="17" fillId="0" borderId="51" xfId="2" applyFont="1" applyBorder="1"/>
    <xf numFmtId="0" fontId="17" fillId="0" borderId="52" xfId="2" applyFont="1" applyBorder="1"/>
    <xf numFmtId="10" fontId="17" fillId="0" borderId="49" xfId="2" applyNumberFormat="1" applyFont="1" applyBorder="1"/>
    <xf numFmtId="10" fontId="17" fillId="0" borderId="53" xfId="2" applyNumberFormat="1" applyFont="1" applyBorder="1"/>
    <xf numFmtId="164" fontId="0" fillId="0" borderId="0" xfId="3" applyNumberFormat="1" applyFont="1"/>
    <xf numFmtId="0" fontId="2" fillId="0" borderId="0" xfId="0" applyFont="1" applyBorder="1"/>
    <xf numFmtId="165" fontId="2" fillId="0" borderId="0" xfId="3" applyNumberFormat="1" applyFont="1" applyBorder="1"/>
    <xf numFmtId="0" fontId="13" fillId="0" borderId="7" xfId="0" applyFont="1" applyBorder="1" applyAlignment="1">
      <alignment wrapText="1"/>
    </xf>
    <xf numFmtId="0" fontId="13" fillId="0" borderId="0" xfId="0" applyFont="1" applyFill="1" applyBorder="1"/>
    <xf numFmtId="0" fontId="19" fillId="0" borderId="7" xfId="0" applyFont="1" applyFill="1" applyBorder="1" applyAlignment="1">
      <alignment wrapText="1"/>
    </xf>
    <xf numFmtId="0" fontId="19" fillId="0" borderId="0" xfId="0" applyFont="1" applyFill="1" applyBorder="1" applyAlignment="1">
      <alignment horizontal="center" wrapText="1"/>
    </xf>
    <xf numFmtId="0" fontId="0" fillId="0" borderId="0" xfId="0" applyAlignment="1"/>
    <xf numFmtId="3" fontId="0" fillId="0" borderId="0" xfId="0" applyNumberFormat="1"/>
    <xf numFmtId="49" fontId="20" fillId="0" borderId="44" xfId="1" applyNumberFormat="1" applyFont="1" applyBorder="1" applyAlignment="1">
      <alignment wrapText="1"/>
    </xf>
    <xf numFmtId="4" fontId="20" fillId="0" borderId="0" xfId="0" applyNumberFormat="1" applyFont="1" applyFill="1" applyBorder="1"/>
    <xf numFmtId="49" fontId="20" fillId="0" borderId="44" xfId="1" applyNumberFormat="1" applyFont="1" applyFill="1" applyBorder="1" applyAlignment="1">
      <alignment wrapText="1"/>
    </xf>
    <xf numFmtId="49" fontId="20" fillId="0" borderId="7" xfId="1" applyNumberFormat="1" applyFont="1" applyFill="1" applyBorder="1" applyAlignment="1">
      <alignment wrapText="1"/>
    </xf>
    <xf numFmtId="0" fontId="19" fillId="0" borderId="9" xfId="0" applyFont="1" applyFill="1" applyBorder="1" applyAlignment="1"/>
    <xf numFmtId="49" fontId="32" fillId="0" borderId="58" xfId="1" applyNumberFormat="1" applyFont="1" applyBorder="1" applyAlignment="1">
      <alignment wrapText="1"/>
    </xf>
    <xf numFmtId="4" fontId="20" fillId="0" borderId="0" xfId="0" applyNumberFormat="1" applyFont="1" applyBorder="1"/>
    <xf numFmtId="0" fontId="19" fillId="0" borderId="59" xfId="0" applyFont="1" applyFill="1" applyBorder="1" applyAlignment="1"/>
    <xf numFmtId="3" fontId="24" fillId="0" borderId="7" xfId="0" applyNumberFormat="1" applyFont="1" applyBorder="1"/>
    <xf numFmtId="3" fontId="23" fillId="0" borderId="0" xfId="0" applyNumberFormat="1" applyFont="1" applyBorder="1"/>
    <xf numFmtId="4" fontId="24" fillId="0" borderId="60" xfId="0" applyNumberFormat="1" applyFont="1" applyFill="1" applyBorder="1" applyAlignment="1">
      <alignment horizontal="right"/>
    </xf>
    <xf numFmtId="4" fontId="23" fillId="0" borderId="0" xfId="0" applyNumberFormat="1" applyFont="1" applyFill="1" applyBorder="1" applyAlignment="1">
      <alignment horizontal="right"/>
    </xf>
    <xf numFmtId="3" fontId="24" fillId="0" borderId="28" xfId="0" applyNumberFormat="1" applyFont="1" applyFill="1" applyBorder="1" applyAlignment="1">
      <alignment horizontal="right"/>
    </xf>
    <xf numFmtId="4" fontId="23" fillId="0" borderId="31" xfId="0" applyNumberFormat="1" applyFont="1" applyFill="1" applyBorder="1" applyAlignment="1">
      <alignment horizontal="right"/>
    </xf>
    <xf numFmtId="4" fontId="24" fillId="0" borderId="55" xfId="0" applyNumberFormat="1" applyFont="1" applyFill="1" applyBorder="1" applyAlignment="1">
      <alignment horizontal="right"/>
    </xf>
    <xf numFmtId="4" fontId="24" fillId="0" borderId="50" xfId="0" applyNumberFormat="1" applyFont="1" applyFill="1" applyBorder="1" applyAlignment="1">
      <alignment horizontal="right"/>
    </xf>
    <xf numFmtId="3" fontId="24" fillId="0" borderId="14" xfId="0" applyNumberFormat="1" applyFont="1" applyFill="1" applyBorder="1" applyAlignment="1">
      <alignment horizontal="right"/>
    </xf>
    <xf numFmtId="4" fontId="24" fillId="0" borderId="61" xfId="0" applyNumberFormat="1" applyFont="1" applyFill="1" applyBorder="1" applyAlignment="1">
      <alignment horizontal="right"/>
    </xf>
    <xf numFmtId="3" fontId="24" fillId="0" borderId="34" xfId="0" applyNumberFormat="1" applyFont="1" applyFill="1" applyBorder="1" applyAlignment="1">
      <alignment horizontal="right"/>
    </xf>
    <xf numFmtId="4" fontId="23" fillId="0" borderId="44" xfId="0" applyNumberFormat="1" applyFont="1" applyFill="1" applyBorder="1" applyAlignment="1">
      <alignment horizontal="right"/>
    </xf>
    <xf numFmtId="3" fontId="33" fillId="0" borderId="40" xfId="0" applyNumberFormat="1" applyFont="1" applyBorder="1" applyAlignment="1">
      <alignment horizontal="center" vertical="center"/>
    </xf>
    <xf numFmtId="3" fontId="4" fillId="0" borderId="0" xfId="0" applyNumberFormat="1" applyFont="1" applyBorder="1"/>
    <xf numFmtId="4" fontId="23" fillId="0" borderId="62" xfId="0" applyNumberFormat="1" applyFont="1" applyFill="1" applyBorder="1" applyAlignment="1">
      <alignment horizontal="right"/>
    </xf>
    <xf numFmtId="3" fontId="23" fillId="0" borderId="1" xfId="0" applyNumberFormat="1" applyFont="1" applyFill="1" applyBorder="1" applyAlignment="1">
      <alignment horizontal="right"/>
    </xf>
    <xf numFmtId="4" fontId="23" fillId="0" borderId="40" xfId="0" applyNumberFormat="1" applyFont="1" applyFill="1" applyBorder="1" applyAlignment="1">
      <alignment horizontal="right"/>
    </xf>
    <xf numFmtId="0" fontId="23" fillId="0" borderId="63" xfId="0" applyFont="1" applyBorder="1"/>
    <xf numFmtId="4" fontId="24" fillId="0" borderId="62" xfId="0" applyNumberFormat="1" applyFont="1" applyFill="1" applyBorder="1" applyAlignment="1">
      <alignment horizontal="right"/>
    </xf>
    <xf numFmtId="0" fontId="20" fillId="0" borderId="0" xfId="1" applyFont="1" applyFill="1" applyBorder="1" applyAlignment="1">
      <alignment horizontal="left" wrapText="1"/>
    </xf>
    <xf numFmtId="165" fontId="31" fillId="0" borderId="0" xfId="4" applyNumberFormat="1" applyFont="1" applyFill="1" applyBorder="1" applyAlignment="1">
      <alignment horizontal="center"/>
    </xf>
    <xf numFmtId="0" fontId="11" fillId="0" borderId="0" xfId="0" applyFont="1" applyFill="1" applyBorder="1"/>
    <xf numFmtId="0" fontId="20" fillId="0" borderId="0" xfId="1" applyFont="1" applyFill="1" applyBorder="1" applyAlignment="1">
      <alignment horizontal="left"/>
    </xf>
    <xf numFmtId="165" fontId="20" fillId="0" borderId="0" xfId="1" applyNumberFormat="1" applyFont="1" applyBorder="1" applyAlignment="1">
      <alignment horizontal="center"/>
    </xf>
    <xf numFmtId="0" fontId="24" fillId="0" borderId="0" xfId="0" applyFont="1" applyFill="1"/>
    <xf numFmtId="165" fontId="24" fillId="0" borderId="0" xfId="3" applyNumberFormat="1" applyFont="1" applyBorder="1"/>
    <xf numFmtId="4" fontId="24" fillId="0" borderId="0" xfId="0" applyNumberFormat="1" applyFont="1" applyBorder="1"/>
    <xf numFmtId="165" fontId="24" fillId="0" borderId="0" xfId="0" applyNumberFormat="1" applyFont="1" applyBorder="1"/>
    <xf numFmtId="0" fontId="4" fillId="0" borderId="0" xfId="0" applyFont="1"/>
    <xf numFmtId="0" fontId="0" fillId="0" borderId="0" xfId="0" applyFill="1"/>
    <xf numFmtId="0" fontId="36" fillId="0" borderId="0" xfId="0" applyFont="1"/>
    <xf numFmtId="0" fontId="36" fillId="0" borderId="11" xfId="0" applyFont="1" applyBorder="1"/>
    <xf numFmtId="0" fontId="4" fillId="0" borderId="1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0" fontId="0" fillId="0" borderId="60" xfId="0" applyBorder="1" applyAlignment="1">
      <alignment horizontal="center" wrapText="1"/>
    </xf>
    <xf numFmtId="49" fontId="0" fillId="0" borderId="31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4" fontId="0" fillId="0" borderId="50" xfId="0" applyNumberFormat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3" fontId="0" fillId="0" borderId="0" xfId="0" applyNumberFormat="1" applyFill="1"/>
    <xf numFmtId="49" fontId="0" fillId="0" borderId="18" xfId="0" applyNumberFormat="1" applyBorder="1" applyAlignment="1">
      <alignment horizontal="center"/>
    </xf>
    <xf numFmtId="49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36" fillId="8" borderId="40" xfId="0" applyFont="1" applyFill="1" applyBorder="1" applyAlignment="1">
      <alignment horizontal="center" vertical="center" wrapText="1"/>
    </xf>
    <xf numFmtId="3" fontId="36" fillId="6" borderId="63" xfId="0" applyNumberFormat="1" applyFont="1" applyFill="1" applyBorder="1" applyAlignment="1">
      <alignment horizontal="center" vertical="center"/>
    </xf>
    <xf numFmtId="3" fontId="36" fillId="6" borderId="64" xfId="0" applyNumberFormat="1" applyFont="1" applyFill="1" applyBorder="1" applyAlignment="1">
      <alignment horizontal="center" vertical="center"/>
    </xf>
    <xf numFmtId="3" fontId="36" fillId="11" borderId="63" xfId="0" applyNumberFormat="1" applyFont="1" applyFill="1" applyBorder="1" applyAlignment="1">
      <alignment horizontal="center" vertical="center"/>
    </xf>
    <xf numFmtId="3" fontId="36" fillId="11" borderId="64" xfId="0" applyNumberFormat="1" applyFont="1" applyFill="1" applyBorder="1" applyAlignment="1">
      <alignment horizontal="center" vertical="center"/>
    </xf>
    <xf numFmtId="3" fontId="36" fillId="12" borderId="63" xfId="0" applyNumberFormat="1" applyFont="1" applyFill="1" applyBorder="1" applyAlignment="1">
      <alignment horizontal="center" vertical="center"/>
    </xf>
    <xf numFmtId="3" fontId="36" fillId="12" borderId="64" xfId="0" applyNumberFormat="1" applyFont="1" applyFill="1" applyBorder="1" applyAlignment="1">
      <alignment horizontal="center" vertical="center"/>
    </xf>
    <xf numFmtId="3" fontId="36" fillId="13" borderId="63" xfId="0" applyNumberFormat="1" applyFont="1" applyFill="1" applyBorder="1" applyAlignment="1">
      <alignment horizontal="center" vertical="center"/>
    </xf>
    <xf numFmtId="1" fontId="36" fillId="13" borderId="64" xfId="0" applyNumberFormat="1" applyFont="1" applyFill="1" applyBorder="1" applyAlignment="1">
      <alignment horizontal="center" vertical="center"/>
    </xf>
    <xf numFmtId="1" fontId="36" fillId="13" borderId="62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18" xfId="0" applyFont="1" applyBorder="1" applyAlignment="1">
      <alignment horizontal="center" vertical="center"/>
    </xf>
    <xf numFmtId="0" fontId="0" fillId="0" borderId="63" xfId="0" applyBorder="1" applyAlignment="1">
      <alignment horizontal="center" wrapText="1"/>
    </xf>
    <xf numFmtId="0" fontId="0" fillId="0" borderId="64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3" fontId="0" fillId="0" borderId="29" xfId="0" applyNumberFormat="1" applyBorder="1" applyAlignment="1">
      <alignment horizontal="center"/>
    </xf>
    <xf numFmtId="0" fontId="0" fillId="0" borderId="65" xfId="0" applyBorder="1" applyAlignment="1">
      <alignment horizontal="center"/>
    </xf>
    <xf numFmtId="4" fontId="0" fillId="0" borderId="60" xfId="0" applyNumberFormat="1" applyBorder="1" applyAlignment="1">
      <alignment horizontal="center"/>
    </xf>
    <xf numFmtId="3" fontId="36" fillId="14" borderId="63" xfId="0" applyNumberFormat="1" applyFont="1" applyFill="1" applyBorder="1" applyAlignment="1">
      <alignment horizontal="center" vertical="center"/>
    </xf>
    <xf numFmtId="3" fontId="36" fillId="14" borderId="64" xfId="0" applyNumberFormat="1" applyFont="1" applyFill="1" applyBorder="1" applyAlignment="1">
      <alignment horizontal="center" vertical="center"/>
    </xf>
    <xf numFmtId="3" fontId="36" fillId="14" borderId="62" xfId="0" applyNumberFormat="1" applyFont="1" applyFill="1" applyBorder="1" applyAlignment="1">
      <alignment horizontal="center" vertical="center"/>
    </xf>
    <xf numFmtId="0" fontId="37" fillId="0" borderId="0" xfId="7"/>
    <xf numFmtId="0" fontId="38" fillId="0" borderId="0" xfId="7" applyFont="1"/>
    <xf numFmtId="0" fontId="41" fillId="0" borderId="16" xfId="7" applyFont="1" applyBorder="1" applyAlignment="1">
      <alignment horizontal="center" wrapText="1"/>
    </xf>
    <xf numFmtId="0" fontId="41" fillId="0" borderId="17" xfId="7" applyFont="1" applyBorder="1" applyAlignment="1">
      <alignment horizontal="center" wrapText="1"/>
    </xf>
    <xf numFmtId="0" fontId="41" fillId="0" borderId="15" xfId="7" applyFont="1" applyBorder="1" applyAlignment="1">
      <alignment horizontal="center" wrapText="1"/>
    </xf>
    <xf numFmtId="0" fontId="41" fillId="0" borderId="50" xfId="7" applyFont="1" applyBorder="1" applyAlignment="1">
      <alignment horizontal="center" wrapText="1"/>
    </xf>
    <xf numFmtId="0" fontId="39" fillId="0" borderId="16" xfId="7" applyFont="1" applyBorder="1" applyAlignment="1">
      <alignment horizontal="center"/>
    </xf>
    <xf numFmtId="0" fontId="39" fillId="0" borderId="16" xfId="7" applyFont="1" applyBorder="1" applyAlignment="1">
      <alignment horizontal="center" wrapText="1"/>
    </xf>
    <xf numFmtId="0" fontId="42" fillId="0" borderId="16" xfId="7" applyFont="1" applyBorder="1" applyAlignment="1">
      <alignment horizontal="center" vertical="center"/>
    </xf>
    <xf numFmtId="0" fontId="42" fillId="0" borderId="17" xfId="7" applyFont="1" applyBorder="1" applyAlignment="1">
      <alignment horizontal="center" vertical="center"/>
    </xf>
    <xf numFmtId="0" fontId="42" fillId="0" borderId="15" xfId="7" applyFont="1" applyFill="1" applyBorder="1" applyAlignment="1">
      <alignment horizontal="center" vertical="center"/>
    </xf>
    <xf numFmtId="0" fontId="42" fillId="0" borderId="50" xfId="7" applyFont="1" applyBorder="1" applyAlignment="1">
      <alignment horizontal="center" vertical="center"/>
    </xf>
    <xf numFmtId="0" fontId="39" fillId="0" borderId="16" xfId="7" applyFont="1" applyFill="1" applyBorder="1" applyAlignment="1">
      <alignment horizontal="center" wrapText="1"/>
    </xf>
    <xf numFmtId="0" fontId="42" fillId="0" borderId="16" xfId="7" applyFont="1" applyBorder="1" applyAlignment="1">
      <alignment horizontal="center" vertical="center" wrapText="1"/>
    </xf>
    <xf numFmtId="0" fontId="39" fillId="0" borderId="16" xfId="7" applyFont="1" applyFill="1" applyBorder="1" applyAlignment="1">
      <alignment horizontal="center"/>
    </xf>
    <xf numFmtId="0" fontId="43" fillId="0" borderId="0" xfId="7" applyFont="1"/>
    <xf numFmtId="0" fontId="39" fillId="0" borderId="67" xfId="7" applyFont="1" applyFill="1" applyBorder="1" applyAlignment="1">
      <alignment horizontal="center" wrapText="1"/>
    </xf>
    <xf numFmtId="0" fontId="42" fillId="0" borderId="67" xfId="7" applyFont="1" applyBorder="1" applyAlignment="1">
      <alignment horizontal="center" vertical="center"/>
    </xf>
    <xf numFmtId="0" fontId="42" fillId="0" borderId="36" xfId="7" applyFont="1" applyBorder="1" applyAlignment="1">
      <alignment horizontal="center" vertical="center"/>
    </xf>
    <xf numFmtId="0" fontId="42" fillId="0" borderId="35" xfId="7" applyFont="1" applyFill="1" applyBorder="1" applyAlignment="1">
      <alignment horizontal="center" vertical="center"/>
    </xf>
    <xf numFmtId="0" fontId="42" fillId="0" borderId="61" xfId="7" applyFont="1" applyBorder="1" applyAlignment="1">
      <alignment horizontal="center" vertical="center"/>
    </xf>
    <xf numFmtId="0" fontId="39" fillId="0" borderId="17" xfId="7" applyFont="1" applyBorder="1" applyAlignment="1">
      <alignment horizontal="center"/>
    </xf>
    <xf numFmtId="0" fontId="39" fillId="0" borderId="63" xfId="7" applyFont="1" applyBorder="1" applyAlignment="1">
      <alignment horizontal="center"/>
    </xf>
    <xf numFmtId="0" fontId="42" fillId="0" borderId="64" xfId="7" applyFont="1" applyBorder="1" applyAlignment="1">
      <alignment horizontal="center" vertical="center"/>
    </xf>
    <xf numFmtId="0" fontId="42" fillId="0" borderId="68" xfId="7" applyFont="1" applyBorder="1" applyAlignment="1">
      <alignment horizontal="center" vertical="center"/>
    </xf>
    <xf numFmtId="0" fontId="42" fillId="0" borderId="63" xfId="7" applyFont="1" applyBorder="1" applyAlignment="1">
      <alignment horizontal="center" vertical="center"/>
    </xf>
    <xf numFmtId="0" fontId="42" fillId="0" borderId="62" xfId="7" applyFont="1" applyBorder="1" applyAlignment="1">
      <alignment horizontal="center" vertical="center"/>
    </xf>
    <xf numFmtId="0" fontId="37" fillId="0" borderId="0" xfId="7" applyAlignment="1">
      <alignment horizontal="center"/>
    </xf>
    <xf numFmtId="0" fontId="43" fillId="0" borderId="0" xfId="7" applyFont="1" applyAlignment="1">
      <alignment horizontal="center"/>
    </xf>
    <xf numFmtId="0" fontId="37" fillId="0" borderId="0" xfId="7" applyFont="1" applyAlignment="1">
      <alignment horizontal="center"/>
    </xf>
    <xf numFmtId="0" fontId="44" fillId="0" borderId="0" xfId="8" applyFont="1"/>
    <xf numFmtId="0" fontId="1" fillId="0" borderId="0" xfId="8"/>
    <xf numFmtId="0" fontId="44" fillId="0" borderId="35" xfId="8" applyFont="1" applyFill="1" applyBorder="1" applyAlignment="1">
      <alignment horizontal="center"/>
    </xf>
    <xf numFmtId="0" fontId="44" fillId="0" borderId="61" xfId="8" applyFont="1" applyFill="1" applyBorder="1" applyAlignment="1">
      <alignment horizontal="center"/>
    </xf>
    <xf numFmtId="0" fontId="1" fillId="0" borderId="13" xfId="8" applyBorder="1" applyAlignment="1">
      <alignment horizontal="center"/>
    </xf>
    <xf numFmtId="3" fontId="1" fillId="0" borderId="45" xfId="8" applyNumberFormat="1" applyBorder="1"/>
    <xf numFmtId="167" fontId="1" fillId="0" borderId="55" xfId="8" applyNumberFormat="1" applyBorder="1"/>
    <xf numFmtId="1" fontId="1" fillId="0" borderId="45" xfId="8" applyNumberFormat="1" applyBorder="1"/>
    <xf numFmtId="1" fontId="1" fillId="0" borderId="55" xfId="8" applyNumberFormat="1" applyBorder="1"/>
    <xf numFmtId="0" fontId="1" fillId="0" borderId="14" xfId="8" applyBorder="1" applyAlignment="1">
      <alignment horizontal="center"/>
    </xf>
    <xf numFmtId="3" fontId="1" fillId="0" borderId="15" xfId="8" applyNumberFormat="1" applyBorder="1"/>
    <xf numFmtId="167" fontId="1" fillId="0" borderId="50" xfId="8" applyNumberFormat="1" applyBorder="1"/>
    <xf numFmtId="1" fontId="1" fillId="0" borderId="15" xfId="8" applyNumberFormat="1" applyBorder="1"/>
    <xf numFmtId="1" fontId="1" fillId="0" borderId="50" xfId="8" applyNumberFormat="1" applyBorder="1"/>
    <xf numFmtId="3" fontId="1" fillId="0" borderId="15" xfId="8" applyNumberFormat="1" applyFill="1" applyBorder="1"/>
    <xf numFmtId="3" fontId="1" fillId="0" borderId="0" xfId="8" applyNumberFormat="1"/>
    <xf numFmtId="167" fontId="1" fillId="0" borderId="0" xfId="8" applyNumberFormat="1"/>
    <xf numFmtId="0" fontId="1" fillId="0" borderId="22" xfId="8" applyBorder="1" applyAlignment="1">
      <alignment horizontal="center"/>
    </xf>
    <xf numFmtId="3" fontId="1" fillId="0" borderId="23" xfId="8" applyNumberFormat="1" applyBorder="1"/>
    <xf numFmtId="167" fontId="1" fillId="0" borderId="53" xfId="8" applyNumberFormat="1" applyBorder="1"/>
    <xf numFmtId="1" fontId="1" fillId="0" borderId="23" xfId="8" applyNumberFormat="1" applyBorder="1"/>
    <xf numFmtId="1" fontId="1" fillId="0" borderId="53" xfId="8" applyNumberFormat="1" applyBorder="1"/>
    <xf numFmtId="0" fontId="36" fillId="0" borderId="1" xfId="8" applyFont="1" applyBorder="1"/>
    <xf numFmtId="3" fontId="36" fillId="6" borderId="63" xfId="8" applyNumberFormat="1" applyFont="1" applyFill="1" applyBorder="1"/>
    <xf numFmtId="167" fontId="36" fillId="6" borderId="62" xfId="8" applyNumberFormat="1" applyFont="1" applyFill="1" applyBorder="1"/>
    <xf numFmtId="3" fontId="36" fillId="15" borderId="63" xfId="8" applyNumberFormat="1" applyFont="1" applyFill="1" applyBorder="1"/>
    <xf numFmtId="167" fontId="36" fillId="15" borderId="62" xfId="8" applyNumberFormat="1" applyFont="1" applyFill="1" applyBorder="1"/>
    <xf numFmtId="1" fontId="36" fillId="6" borderId="63" xfId="8" applyNumberFormat="1" applyFont="1" applyFill="1" applyBorder="1"/>
    <xf numFmtId="1" fontId="36" fillId="15" borderId="62" xfId="8" applyNumberFormat="1" applyFont="1" applyFill="1" applyBorder="1"/>
    <xf numFmtId="0" fontId="4" fillId="14" borderId="1" xfId="8" applyFont="1" applyFill="1" applyBorder="1"/>
    <xf numFmtId="0" fontId="4" fillId="14" borderId="41" xfId="8" applyFont="1" applyFill="1" applyBorder="1"/>
    <xf numFmtId="0" fontId="4" fillId="14" borderId="2" xfId="8" applyFont="1" applyFill="1" applyBorder="1"/>
    <xf numFmtId="0" fontId="44" fillId="0" borderId="69" xfId="8" applyFont="1" applyFill="1" applyBorder="1" applyAlignment="1">
      <alignment horizontal="center"/>
    </xf>
    <xf numFmtId="0" fontId="44" fillId="0" borderId="70" xfId="8" applyFont="1" applyFill="1" applyBorder="1" applyAlignment="1">
      <alignment horizontal="center"/>
    </xf>
    <xf numFmtId="0" fontId="1" fillId="0" borderId="28" xfId="8" applyBorder="1" applyAlignment="1">
      <alignment horizontal="center"/>
    </xf>
    <xf numFmtId="3" fontId="1" fillId="0" borderId="29" xfId="8" applyNumberFormat="1" applyBorder="1"/>
    <xf numFmtId="167" fontId="1" fillId="0" borderId="60" xfId="8" applyNumberFormat="1" applyBorder="1"/>
    <xf numFmtId="1" fontId="1" fillId="0" borderId="29" xfId="8" applyNumberFormat="1" applyBorder="1"/>
    <xf numFmtId="1" fontId="1" fillId="0" borderId="60" xfId="8" applyNumberFormat="1" applyBorder="1"/>
    <xf numFmtId="0" fontId="1" fillId="0" borderId="34" xfId="8" applyBorder="1" applyAlignment="1">
      <alignment horizontal="center"/>
    </xf>
    <xf numFmtId="3" fontId="1" fillId="0" borderId="35" xfId="8" applyNumberFormat="1" applyBorder="1"/>
    <xf numFmtId="167" fontId="1" fillId="0" borderId="61" xfId="8" applyNumberFormat="1" applyFill="1" applyBorder="1"/>
    <xf numFmtId="1" fontId="1" fillId="0" borderId="35" xfId="8" applyNumberFormat="1" applyBorder="1"/>
    <xf numFmtId="1" fontId="1" fillId="0" borderId="61" xfId="8" applyNumberFormat="1" applyBorder="1"/>
    <xf numFmtId="0" fontId="1" fillId="0" borderId="0" xfId="8" applyFill="1"/>
    <xf numFmtId="3" fontId="36" fillId="16" borderId="63" xfId="8" applyNumberFormat="1" applyFont="1" applyFill="1" applyBorder="1"/>
    <xf numFmtId="167" fontId="36" fillId="16" borderId="62" xfId="8" applyNumberFormat="1" applyFont="1" applyFill="1" applyBorder="1"/>
    <xf numFmtId="3" fontId="36" fillId="17" borderId="63" xfId="8" applyNumberFormat="1" applyFont="1" applyFill="1" applyBorder="1"/>
    <xf numFmtId="167" fontId="36" fillId="17" borderId="62" xfId="8" applyNumberFormat="1" applyFont="1" applyFill="1" applyBorder="1"/>
    <xf numFmtId="1" fontId="36" fillId="16" borderId="63" xfId="8" applyNumberFormat="1" applyFont="1" applyFill="1" applyBorder="1"/>
    <xf numFmtId="1" fontId="36" fillId="17" borderId="62" xfId="8" applyNumberFormat="1" applyFont="1" applyFill="1" applyBorder="1"/>
    <xf numFmtId="0" fontId="4" fillId="17" borderId="1" xfId="8" applyFont="1" applyFill="1" applyBorder="1"/>
    <xf numFmtId="0" fontId="4" fillId="17" borderId="41" xfId="8" applyFont="1" applyFill="1" applyBorder="1"/>
    <xf numFmtId="0" fontId="4" fillId="17" borderId="2" xfId="8" applyFont="1" applyFill="1" applyBorder="1"/>
    <xf numFmtId="3" fontId="36" fillId="18" borderId="63" xfId="8" applyNumberFormat="1" applyFont="1" applyFill="1" applyBorder="1"/>
    <xf numFmtId="167" fontId="36" fillId="18" borderId="62" xfId="8" applyNumberFormat="1" applyFont="1" applyFill="1" applyBorder="1"/>
    <xf numFmtId="3" fontId="36" fillId="12" borderId="63" xfId="8" applyNumberFormat="1" applyFont="1" applyFill="1" applyBorder="1"/>
    <xf numFmtId="167" fontId="36" fillId="12" borderId="62" xfId="8" applyNumberFormat="1" applyFont="1" applyFill="1" applyBorder="1"/>
    <xf numFmtId="1" fontId="36" fillId="18" borderId="63" xfId="8" applyNumberFormat="1" applyFont="1" applyFill="1" applyBorder="1"/>
    <xf numFmtId="1" fontId="36" fillId="12" borderId="62" xfId="8" applyNumberFormat="1" applyFont="1" applyFill="1" applyBorder="1"/>
    <xf numFmtId="0" fontId="4" fillId="12" borderId="1" xfId="8" applyFont="1" applyFill="1" applyBorder="1"/>
    <xf numFmtId="0" fontId="4" fillId="12" borderId="41" xfId="8" applyFont="1" applyFill="1" applyBorder="1"/>
    <xf numFmtId="0" fontId="4" fillId="12" borderId="2" xfId="8" applyFont="1" applyFill="1" applyBorder="1"/>
    <xf numFmtId="0" fontId="4" fillId="18" borderId="1" xfId="8" applyFont="1" applyFill="1" applyBorder="1"/>
    <xf numFmtId="0" fontId="4" fillId="18" borderId="41" xfId="8" applyFont="1" applyFill="1" applyBorder="1"/>
    <xf numFmtId="0" fontId="4" fillId="18" borderId="2" xfId="8" applyFont="1" applyFill="1" applyBorder="1"/>
    <xf numFmtId="0" fontId="46" fillId="0" borderId="35" xfId="8" applyFont="1" applyFill="1" applyBorder="1" applyAlignment="1">
      <alignment horizontal="center"/>
    </xf>
    <xf numFmtId="0" fontId="46" fillId="0" borderId="61" xfId="8" applyFont="1" applyFill="1" applyBorder="1" applyAlignment="1">
      <alignment horizontal="center"/>
    </xf>
    <xf numFmtId="3" fontId="36" fillId="19" borderId="63" xfId="8" applyNumberFormat="1" applyFont="1" applyFill="1" applyBorder="1"/>
    <xf numFmtId="167" fontId="36" fillId="19" borderId="62" xfId="8" applyNumberFormat="1" applyFont="1" applyFill="1" applyBorder="1"/>
    <xf numFmtId="3" fontId="36" fillId="20" borderId="63" xfId="8" applyNumberFormat="1" applyFont="1" applyFill="1" applyBorder="1"/>
    <xf numFmtId="167" fontId="36" fillId="20" borderId="62" xfId="8" applyNumberFormat="1" applyFont="1" applyFill="1" applyBorder="1"/>
    <xf numFmtId="1" fontId="36" fillId="19" borderId="63" xfId="8" applyNumberFormat="1" applyFont="1" applyFill="1" applyBorder="1"/>
    <xf numFmtId="1" fontId="36" fillId="20" borderId="62" xfId="8" applyNumberFormat="1" applyFont="1" applyFill="1" applyBorder="1"/>
    <xf numFmtId="49" fontId="1" fillId="0" borderId="53" xfId="8" applyNumberFormat="1" applyBorder="1" applyAlignment="1">
      <alignment horizontal="center"/>
    </xf>
    <xf numFmtId="0" fontId="1" fillId="0" borderId="49" xfId="8" applyBorder="1" applyAlignment="1">
      <alignment horizontal="left"/>
    </xf>
    <xf numFmtId="0" fontId="1" fillId="0" borderId="23" xfId="8" applyBorder="1" applyAlignment="1">
      <alignment horizontal="left"/>
    </xf>
    <xf numFmtId="49" fontId="1" fillId="0" borderId="50" xfId="8" applyNumberFormat="1" applyBorder="1" applyAlignment="1">
      <alignment horizontal="center"/>
    </xf>
    <xf numFmtId="0" fontId="1" fillId="0" borderId="16" xfId="8" applyBorder="1" applyAlignment="1">
      <alignment horizontal="left"/>
    </xf>
    <xf numFmtId="0" fontId="1" fillId="0" borderId="15" xfId="8" applyBorder="1" applyAlignment="1">
      <alignment horizontal="left"/>
    </xf>
    <xf numFmtId="0" fontId="1" fillId="0" borderId="55" xfId="8" applyBorder="1" applyAlignment="1">
      <alignment wrapText="1"/>
    </xf>
    <xf numFmtId="0" fontId="1" fillId="0" borderId="71" xfId="8" applyBorder="1" applyAlignment="1">
      <alignment horizontal="center" vertical="center" wrapText="1"/>
    </xf>
    <xf numFmtId="0" fontId="1" fillId="0" borderId="45" xfId="8" applyBorder="1"/>
    <xf numFmtId="0" fontId="4" fillId="0" borderId="0" xfId="8" applyFont="1" applyFill="1" applyBorder="1"/>
    <xf numFmtId="9" fontId="36" fillId="21" borderId="62" xfId="8" applyNumberFormat="1" applyFont="1" applyFill="1" applyBorder="1"/>
    <xf numFmtId="9" fontId="36" fillId="21" borderId="63" xfId="8" applyNumberFormat="1" applyFont="1" applyFill="1" applyBorder="1"/>
    <xf numFmtId="168" fontId="36" fillId="22" borderId="68" xfId="8" applyNumberFormat="1" applyFont="1" applyFill="1" applyBorder="1"/>
    <xf numFmtId="1" fontId="36" fillId="22" borderId="63" xfId="8" applyNumberFormat="1" applyFont="1" applyFill="1" applyBorder="1"/>
    <xf numFmtId="9" fontId="1" fillId="0" borderId="53" xfId="8" applyNumberFormat="1" applyBorder="1"/>
    <xf numFmtId="9" fontId="1" fillId="0" borderId="23" xfId="8" applyNumberFormat="1" applyBorder="1"/>
    <xf numFmtId="168" fontId="1" fillId="0" borderId="43" xfId="8" applyNumberFormat="1" applyBorder="1"/>
    <xf numFmtId="3" fontId="1" fillId="0" borderId="33" xfId="8" applyNumberFormat="1" applyBorder="1"/>
    <xf numFmtId="167" fontId="1" fillId="0" borderId="17" xfId="8" applyNumberFormat="1" applyBorder="1"/>
    <xf numFmtId="0" fontId="1" fillId="0" borderId="14" xfId="8" applyBorder="1" applyAlignment="1">
      <alignment horizontal="left"/>
    </xf>
    <xf numFmtId="9" fontId="1" fillId="0" borderId="50" xfId="8" applyNumberFormat="1" applyBorder="1"/>
    <xf numFmtId="9" fontId="1" fillId="0" borderId="15" xfId="8" applyNumberFormat="1" applyBorder="1"/>
    <xf numFmtId="168" fontId="1" fillId="0" borderId="50" xfId="8" applyNumberFormat="1" applyBorder="1"/>
    <xf numFmtId="9" fontId="1" fillId="0" borderId="55" xfId="8" applyNumberFormat="1" applyBorder="1"/>
    <xf numFmtId="9" fontId="1" fillId="0" borderId="45" xfId="8" applyNumberFormat="1" applyBorder="1"/>
    <xf numFmtId="168" fontId="1" fillId="0" borderId="55" xfId="8" applyNumberFormat="1" applyBorder="1"/>
    <xf numFmtId="167" fontId="1" fillId="0" borderId="46" xfId="8" applyNumberFormat="1" applyBorder="1"/>
    <xf numFmtId="0" fontId="1" fillId="0" borderId="13" xfId="8" applyBorder="1" applyAlignment="1">
      <alignment horizontal="left"/>
    </xf>
    <xf numFmtId="0" fontId="44" fillId="0" borderId="57" xfId="8" applyFont="1" applyFill="1" applyBorder="1" applyAlignment="1">
      <alignment horizontal="center"/>
    </xf>
    <xf numFmtId="0" fontId="44" fillId="0" borderId="33" xfId="8" applyFont="1" applyFill="1" applyBorder="1" applyAlignment="1">
      <alignment horizontal="center" wrapText="1"/>
    </xf>
    <xf numFmtId="0" fontId="1" fillId="0" borderId="39" xfId="8" applyBorder="1" applyAlignment="1">
      <alignment horizontal="center" vertical="center" wrapText="1"/>
    </xf>
    <xf numFmtId="0" fontId="1" fillId="0" borderId="58" xfId="8" applyBorder="1" applyAlignment="1">
      <alignment vertical="center"/>
    </xf>
    <xf numFmtId="0" fontId="4" fillId="0" borderId="0" xfId="8" applyFont="1"/>
    <xf numFmtId="3" fontId="4" fillId="0" borderId="0" xfId="8" applyNumberFormat="1" applyFont="1"/>
    <xf numFmtId="0" fontId="33" fillId="0" borderId="0" xfId="0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33" fillId="0" borderId="0" xfId="0" applyFont="1" applyBorder="1"/>
    <xf numFmtId="4" fontId="0" fillId="0" borderId="0" xfId="0" applyNumberFormat="1" applyFill="1" applyBorder="1"/>
    <xf numFmtId="0" fontId="28" fillId="0" borderId="31" xfId="0" applyNumberFormat="1" applyFont="1" applyFill="1" applyBorder="1" applyAlignment="1">
      <alignment horizontal="left" wrapText="1"/>
    </xf>
    <xf numFmtId="4" fontId="48" fillId="0" borderId="31" xfId="0" applyNumberFormat="1" applyFont="1" applyFill="1" applyBorder="1"/>
    <xf numFmtId="0" fontId="28" fillId="0" borderId="18" xfId="0" applyNumberFormat="1" applyFont="1" applyFill="1" applyBorder="1" applyAlignment="1">
      <alignment horizontal="left" wrapText="1"/>
    </xf>
    <xf numFmtId="4" fontId="48" fillId="0" borderId="18" xfId="0" applyNumberFormat="1" applyFont="1" applyFill="1" applyBorder="1"/>
    <xf numFmtId="0" fontId="28" fillId="0" borderId="18" xfId="0" applyFont="1" applyFill="1" applyBorder="1" applyAlignment="1">
      <alignment wrapText="1"/>
    </xf>
    <xf numFmtId="0" fontId="28" fillId="0" borderId="37" xfId="0" applyFont="1" applyFill="1" applyBorder="1" applyAlignment="1">
      <alignment wrapText="1"/>
    </xf>
    <xf numFmtId="4" fontId="48" fillId="0" borderId="37" xfId="0" applyNumberFormat="1" applyFont="1" applyFill="1" applyBorder="1"/>
    <xf numFmtId="0" fontId="34" fillId="0" borderId="1" xfId="0" applyFont="1" applyFill="1" applyBorder="1"/>
    <xf numFmtId="0" fontId="34" fillId="0" borderId="2" xfId="0" applyFont="1" applyFill="1" applyBorder="1"/>
    <xf numFmtId="0" fontId="36" fillId="0" borderId="40" xfId="0" applyFont="1" applyFill="1" applyBorder="1" applyAlignment="1">
      <alignment horizontal="center" wrapText="1"/>
    </xf>
    <xf numFmtId="0" fontId="36" fillId="0" borderId="40" xfId="0" applyFont="1" applyFill="1" applyBorder="1" applyAlignment="1">
      <alignment wrapText="1"/>
    </xf>
    <xf numFmtId="0" fontId="36" fillId="0" borderId="40" xfId="0" applyFont="1" applyFill="1" applyBorder="1"/>
    <xf numFmtId="4" fontId="36" fillId="0" borderId="4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5" fillId="0" borderId="0" xfId="0" applyFont="1"/>
    <xf numFmtId="0" fontId="34" fillId="0" borderId="1" xfId="0" applyFont="1" applyBorder="1" applyAlignment="1">
      <alignment wrapText="1"/>
    </xf>
    <xf numFmtId="4" fontId="34" fillId="0" borderId="40" xfId="0" applyNumberFormat="1" applyFont="1" applyBorder="1"/>
    <xf numFmtId="170" fontId="0" fillId="0" borderId="0" xfId="0" applyNumberFormat="1"/>
    <xf numFmtId="168" fontId="0" fillId="0" borderId="0" xfId="0" applyNumberFormat="1"/>
    <xf numFmtId="168" fontId="67" fillId="20" borderId="40" xfId="0" applyNumberFormat="1" applyFont="1" applyFill="1" applyBorder="1" applyAlignment="1">
      <alignment horizontal="left"/>
    </xf>
    <xf numFmtId="0" fontId="68" fillId="0" borderId="28" xfId="0" applyFont="1" applyBorder="1" applyAlignment="1">
      <alignment horizontal="left"/>
    </xf>
    <xf numFmtId="0" fontId="68" fillId="0" borderId="30" xfId="0" applyFont="1" applyBorder="1" applyAlignment="1">
      <alignment horizontal="left"/>
    </xf>
    <xf numFmtId="0" fontId="68" fillId="0" borderId="72" xfId="0" applyFont="1" applyBorder="1" applyAlignment="1">
      <alignment horizontal="left" vertical="center"/>
    </xf>
    <xf numFmtId="0" fontId="68" fillId="0" borderId="17" xfId="0" applyFont="1" applyBorder="1" applyAlignment="1">
      <alignment horizontal="left"/>
    </xf>
    <xf numFmtId="0" fontId="68" fillId="0" borderId="17" xfId="0" applyFont="1" applyFill="1" applyBorder="1" applyAlignment="1">
      <alignment horizontal="left"/>
    </xf>
    <xf numFmtId="0" fontId="67" fillId="20" borderId="68" xfId="0" applyFont="1" applyFill="1" applyBorder="1" applyAlignment="1">
      <alignment horizontal="left"/>
    </xf>
    <xf numFmtId="168" fontId="67" fillId="20" borderId="40" xfId="0" applyNumberFormat="1" applyFont="1" applyFill="1" applyBorder="1" applyAlignment="1">
      <alignment horizontal="right"/>
    </xf>
    <xf numFmtId="0" fontId="70" fillId="0" borderId="0" xfId="0" applyFont="1" applyFill="1" applyBorder="1" applyAlignment="1">
      <alignment horizontal="left"/>
    </xf>
    <xf numFmtId="0" fontId="70" fillId="0" borderId="43" xfId="0" applyFont="1" applyFill="1" applyBorder="1" applyAlignment="1">
      <alignment horizontal="left"/>
    </xf>
    <xf numFmtId="168" fontId="67" fillId="20" borderId="40" xfId="0" applyNumberFormat="1" applyFont="1" applyFill="1" applyBorder="1" applyAlignment="1"/>
    <xf numFmtId="0" fontId="68" fillId="0" borderId="72" xfId="0" applyFont="1" applyBorder="1" applyAlignment="1">
      <alignment horizontal="left"/>
    </xf>
    <xf numFmtId="0" fontId="68" fillId="0" borderId="17" xfId="0" applyFont="1" applyBorder="1" applyAlignment="1">
      <alignment horizontal="left" wrapText="1"/>
    </xf>
    <xf numFmtId="0" fontId="68" fillId="0" borderId="72" xfId="0" applyFont="1" applyBorder="1" applyAlignment="1">
      <alignment horizontal="left" wrapText="1"/>
    </xf>
    <xf numFmtId="0" fontId="0" fillId="0" borderId="15" xfId="0" applyBorder="1" applyAlignment="1">
      <alignment horizontal="center"/>
    </xf>
    <xf numFmtId="0" fontId="68" fillId="0" borderId="17" xfId="0" applyFont="1" applyFill="1" applyBorder="1" applyAlignment="1">
      <alignment horizontal="left" wrapText="1"/>
    </xf>
    <xf numFmtId="0" fontId="0" fillId="0" borderId="16" xfId="0" applyBorder="1" applyAlignment="1">
      <alignment horizontal="left"/>
    </xf>
    <xf numFmtId="168" fontId="70" fillId="0" borderId="44" xfId="0" applyNumberFormat="1" applyFont="1" applyFill="1" applyBorder="1" applyAlignment="1">
      <alignment horizontal="left"/>
    </xf>
    <xf numFmtId="168" fontId="68" fillId="0" borderId="31" xfId="0" applyNumberFormat="1" applyFont="1" applyBorder="1" applyAlignment="1">
      <alignment horizontal="left" vertical="center"/>
    </xf>
    <xf numFmtId="168" fontId="68" fillId="0" borderId="18" xfId="0" applyNumberFormat="1" applyFont="1" applyBorder="1" applyAlignment="1">
      <alignment horizontal="left" vertical="center"/>
    </xf>
    <xf numFmtId="168" fontId="70" fillId="0" borderId="44" xfId="0" applyNumberFormat="1" applyFont="1" applyFill="1" applyBorder="1" applyAlignment="1"/>
    <xf numFmtId="168" fontId="68" fillId="0" borderId="31" xfId="0" applyNumberFormat="1" applyFont="1" applyBorder="1" applyAlignment="1">
      <alignment horizontal="left"/>
    </xf>
    <xf numFmtId="168" fontId="68" fillId="0" borderId="18" xfId="0" applyNumberFormat="1" applyFont="1" applyBorder="1" applyAlignment="1">
      <alignment horizontal="left"/>
    </xf>
    <xf numFmtId="0" fontId="0" fillId="0" borderId="15" xfId="0" applyBorder="1" applyAlignment="1">
      <alignment horizontal="left"/>
    </xf>
    <xf numFmtId="0" fontId="66" fillId="39" borderId="41" xfId="0" applyFont="1" applyFill="1" applyBorder="1" applyAlignment="1">
      <alignment horizontal="left"/>
    </xf>
    <xf numFmtId="168" fontId="66" fillId="39" borderId="40" xfId="0" applyNumberFormat="1" applyFont="1" applyFill="1" applyBorder="1" applyAlignment="1">
      <alignment horizontal="left"/>
    </xf>
    <xf numFmtId="0" fontId="71" fillId="39" borderId="1" xfId="0" applyFont="1" applyFill="1" applyBorder="1" applyAlignment="1">
      <alignment horizontal="left"/>
    </xf>
    <xf numFmtId="0" fontId="71" fillId="39" borderId="41" xfId="0" applyFont="1" applyFill="1" applyBorder="1" applyAlignment="1">
      <alignment horizontal="left"/>
    </xf>
    <xf numFmtId="0" fontId="74" fillId="0" borderId="0" xfId="59" applyFont="1" applyAlignment="1">
      <alignment vertical="center"/>
    </xf>
    <xf numFmtId="0" fontId="73" fillId="0" borderId="0" xfId="59"/>
    <xf numFmtId="0" fontId="73" fillId="0" borderId="48" xfId="59" applyBorder="1"/>
    <xf numFmtId="0" fontId="77" fillId="0" borderId="0" xfId="59" applyFont="1" applyBorder="1" applyAlignment="1">
      <alignment horizontal="center" vertical="center" wrapText="1"/>
    </xf>
    <xf numFmtId="0" fontId="77" fillId="0" borderId="0" xfId="59" applyFont="1" applyBorder="1" applyAlignment="1">
      <alignment horizontal="right" vertical="center" wrapText="1"/>
    </xf>
    <xf numFmtId="0" fontId="78" fillId="0" borderId="0" xfId="59" applyFont="1" applyBorder="1" applyAlignment="1">
      <alignment horizontal="right" vertical="center" wrapText="1"/>
    </xf>
    <xf numFmtId="0" fontId="77" fillId="0" borderId="63" xfId="59" applyFont="1" applyBorder="1" applyAlignment="1">
      <alignment horizontal="center" vertical="center" wrapText="1"/>
    </xf>
    <xf numFmtId="0" fontId="77" fillId="0" borderId="64" xfId="59" applyFont="1" applyBorder="1" applyAlignment="1">
      <alignment horizontal="center" vertical="center" wrapText="1"/>
    </xf>
    <xf numFmtId="0" fontId="77" fillId="0" borderId="62" xfId="59" applyFont="1" applyBorder="1" applyAlignment="1">
      <alignment horizontal="center" vertical="center" wrapText="1"/>
    </xf>
    <xf numFmtId="0" fontId="78" fillId="0" borderId="63" xfId="59" applyFont="1" applyBorder="1" applyAlignment="1">
      <alignment horizontal="center" vertical="center" wrapText="1"/>
    </xf>
    <xf numFmtId="0" fontId="78" fillId="0" borderId="64" xfId="59" applyFont="1" applyBorder="1" applyAlignment="1">
      <alignment horizontal="center" vertical="center" wrapText="1"/>
    </xf>
    <xf numFmtId="0" fontId="78" fillId="0" borderId="62" xfId="59" applyFont="1" applyBorder="1" applyAlignment="1">
      <alignment horizontal="center" vertical="center" wrapText="1"/>
    </xf>
    <xf numFmtId="0" fontId="78" fillId="0" borderId="65" xfId="59" applyFont="1" applyBorder="1" applyAlignment="1">
      <alignment vertical="center" wrapText="1"/>
    </xf>
    <xf numFmtId="3" fontId="78" fillId="0" borderId="65" xfId="59" applyNumberFormat="1" applyFont="1" applyBorder="1" applyAlignment="1">
      <alignment horizontal="right" wrapText="1"/>
    </xf>
    <xf numFmtId="0" fontId="78" fillId="0" borderId="16" xfId="59" applyFont="1" applyBorder="1" applyAlignment="1">
      <alignment vertical="center" wrapText="1"/>
    </xf>
    <xf numFmtId="3" fontId="78" fillId="0" borderId="16" xfId="59" applyNumberFormat="1" applyFont="1" applyBorder="1" applyAlignment="1">
      <alignment horizontal="right" wrapText="1"/>
    </xf>
    <xf numFmtId="0" fontId="78" fillId="0" borderId="67" xfId="59" applyFont="1" applyBorder="1" applyAlignment="1">
      <alignment vertical="center" wrapText="1"/>
    </xf>
    <xf numFmtId="3" fontId="78" fillId="0" borderId="67" xfId="59" applyNumberFormat="1" applyFont="1" applyBorder="1" applyAlignment="1">
      <alignment horizontal="right" wrapText="1"/>
    </xf>
    <xf numFmtId="0" fontId="77" fillId="0" borderId="63" xfId="59" applyFont="1" applyBorder="1" applyAlignment="1">
      <alignment vertical="center" wrapText="1"/>
    </xf>
    <xf numFmtId="3" fontId="77" fillId="0" borderId="64" xfId="59" applyNumberFormat="1" applyFont="1" applyBorder="1" applyAlignment="1">
      <alignment horizontal="right" wrapText="1"/>
    </xf>
    <xf numFmtId="0" fontId="80" fillId="0" borderId="0" xfId="59" applyFont="1" applyAlignment="1">
      <alignment vertical="center"/>
    </xf>
    <xf numFmtId="0" fontId="81" fillId="0" borderId="0" xfId="59" applyFont="1" applyAlignment="1">
      <alignment vertical="center"/>
    </xf>
    <xf numFmtId="0" fontId="82" fillId="0" borderId="0" xfId="59" applyFont="1"/>
    <xf numFmtId="0" fontId="4" fillId="0" borderId="40" xfId="0" applyFont="1" applyBorder="1" applyAlignment="1">
      <alignment horizontal="center"/>
    </xf>
    <xf numFmtId="0" fontId="4" fillId="0" borderId="40" xfId="8" applyFont="1" applyBorder="1" applyAlignment="1">
      <alignment horizontal="center"/>
    </xf>
    <xf numFmtId="0" fontId="4" fillId="0" borderId="0" xfId="8" applyFont="1" applyBorder="1" applyAlignment="1">
      <alignment horizontal="center"/>
    </xf>
    <xf numFmtId="168" fontId="4" fillId="0" borderId="40" xfId="0" applyNumberFormat="1" applyFont="1" applyBorder="1" applyAlignment="1">
      <alignment horizontal="center"/>
    </xf>
    <xf numFmtId="0" fontId="33" fillId="0" borderId="40" xfId="59" applyFont="1" applyBorder="1" applyAlignment="1">
      <alignment horizontal="center"/>
    </xf>
    <xf numFmtId="0" fontId="12" fillId="4" borderId="1" xfId="2" applyFont="1" applyFill="1" applyBorder="1" applyAlignment="1">
      <alignment horizontal="center"/>
    </xf>
    <xf numFmtId="0" fontId="12" fillId="4" borderId="2" xfId="2" applyFont="1" applyFill="1" applyBorder="1" applyAlignment="1">
      <alignment horizontal="center"/>
    </xf>
    <xf numFmtId="0" fontId="13" fillId="9" borderId="54" xfId="0" applyFont="1" applyFill="1" applyBorder="1" applyAlignment="1">
      <alignment horizontal="center" wrapText="1"/>
    </xf>
    <xf numFmtId="0" fontId="13" fillId="9" borderId="55" xfId="0" applyFont="1" applyFill="1" applyBorder="1" applyAlignment="1">
      <alignment horizontal="center" wrapText="1"/>
    </xf>
    <xf numFmtId="0" fontId="13" fillId="9" borderId="56" xfId="0" applyFont="1" applyFill="1" applyBorder="1" applyAlignment="1">
      <alignment horizontal="center" wrapText="1"/>
    </xf>
    <xf numFmtId="0" fontId="13" fillId="9" borderId="57" xfId="0" applyFont="1" applyFill="1" applyBorder="1" applyAlignment="1">
      <alignment horizontal="center" wrapText="1"/>
    </xf>
    <xf numFmtId="0" fontId="13" fillId="9" borderId="24" xfId="0" applyFont="1" applyFill="1" applyBorder="1" applyAlignment="1">
      <alignment horizontal="center" wrapText="1"/>
    </xf>
    <xf numFmtId="0" fontId="13" fillId="9" borderId="53" xfId="0" applyFont="1" applyFill="1" applyBorder="1" applyAlignment="1">
      <alignment horizontal="center" wrapText="1"/>
    </xf>
    <xf numFmtId="0" fontId="13" fillId="9" borderId="7" xfId="0" applyFont="1" applyFill="1" applyBorder="1" applyAlignment="1">
      <alignment horizontal="center" wrapText="1"/>
    </xf>
    <xf numFmtId="0" fontId="13" fillId="9" borderId="44" xfId="0" applyFont="1" applyFill="1" applyBorder="1" applyAlignment="1">
      <alignment horizontal="center" wrapText="1"/>
    </xf>
    <xf numFmtId="0" fontId="13" fillId="9" borderId="58" xfId="0" applyFont="1" applyFill="1" applyBorder="1" applyAlignment="1">
      <alignment horizontal="center" wrapText="1"/>
    </xf>
    <xf numFmtId="0" fontId="19" fillId="10" borderId="7" xfId="0" applyFont="1" applyFill="1" applyBorder="1" applyAlignment="1">
      <alignment horizontal="left" wrapText="1"/>
    </xf>
    <xf numFmtId="0" fontId="19" fillId="10" borderId="44" xfId="0" applyFont="1" applyFill="1" applyBorder="1" applyAlignment="1">
      <alignment horizontal="left" wrapText="1"/>
    </xf>
    <xf numFmtId="0" fontId="19" fillId="10" borderId="58" xfId="0" applyFont="1" applyFill="1" applyBorder="1" applyAlignment="1">
      <alignment horizontal="left" wrapText="1"/>
    </xf>
    <xf numFmtId="0" fontId="19" fillId="10" borderId="3" xfId="0" applyFont="1" applyFill="1" applyBorder="1" applyAlignment="1">
      <alignment horizontal="left" wrapText="1"/>
    </xf>
    <xf numFmtId="0" fontId="19" fillId="10" borderId="39" xfId="0" applyFont="1" applyFill="1" applyBorder="1" applyAlignment="1">
      <alignment horizontal="left" wrapText="1"/>
    </xf>
    <xf numFmtId="0" fontId="19" fillId="10" borderId="52" xfId="0" applyFont="1" applyFill="1" applyBorder="1" applyAlignment="1">
      <alignment horizontal="left" wrapText="1"/>
    </xf>
    <xf numFmtId="0" fontId="19" fillId="10" borderId="11" xfId="0" applyFont="1" applyFill="1" applyBorder="1" applyAlignment="1">
      <alignment horizontal="left" wrapText="1"/>
    </xf>
    <xf numFmtId="0" fontId="19" fillId="10" borderId="18" xfId="0" applyFont="1" applyFill="1" applyBorder="1" applyAlignment="1">
      <alignment horizontal="left" wrapText="1"/>
    </xf>
    <xf numFmtId="0" fontId="19" fillId="10" borderId="26" xfId="0" applyFont="1" applyFill="1" applyBorder="1" applyAlignment="1">
      <alignment horizontal="left" wrapText="1"/>
    </xf>
    <xf numFmtId="3" fontId="4" fillId="0" borderId="29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/>
    </xf>
    <xf numFmtId="3" fontId="4" fillId="0" borderId="20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/>
    </xf>
    <xf numFmtId="3" fontId="4" fillId="0" borderId="50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 vertical="center"/>
    </xf>
    <xf numFmtId="3" fontId="33" fillId="0" borderId="2" xfId="0" applyNumberFormat="1" applyFont="1" applyBorder="1" applyAlignment="1">
      <alignment horizontal="center" vertical="center"/>
    </xf>
    <xf numFmtId="3" fontId="33" fillId="0" borderId="41" xfId="0" applyNumberFormat="1" applyFont="1" applyBorder="1" applyAlignment="1">
      <alignment horizontal="center" vertical="center"/>
    </xf>
    <xf numFmtId="3" fontId="33" fillId="0" borderId="41" xfId="0" applyNumberFormat="1" applyFont="1" applyBorder="1"/>
    <xf numFmtId="3" fontId="4" fillId="0" borderId="0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/>
    </xf>
    <xf numFmtId="0" fontId="34" fillId="0" borderId="41" xfId="0" applyFont="1" applyBorder="1" applyAlignment="1">
      <alignment horizontal="center"/>
    </xf>
    <xf numFmtId="0" fontId="34" fillId="0" borderId="2" xfId="0" applyFont="1" applyBorder="1" applyAlignment="1">
      <alignment horizontal="center"/>
    </xf>
    <xf numFmtId="0" fontId="36" fillId="6" borderId="63" xfId="0" applyFont="1" applyFill="1" applyBorder="1" applyAlignment="1">
      <alignment horizontal="center" wrapText="1"/>
    </xf>
    <xf numFmtId="0" fontId="36" fillId="6" borderId="64" xfId="0" applyFont="1" applyFill="1" applyBorder="1" applyAlignment="1">
      <alignment horizontal="center" wrapText="1"/>
    </xf>
    <xf numFmtId="0" fontId="36" fillId="6" borderId="62" xfId="0" applyFont="1" applyFill="1" applyBorder="1" applyAlignment="1">
      <alignment horizontal="center" wrapText="1"/>
    </xf>
    <xf numFmtId="0" fontId="6" fillId="11" borderId="63" xfId="0" applyFont="1" applyFill="1" applyBorder="1" applyAlignment="1">
      <alignment horizontal="center"/>
    </xf>
    <xf numFmtId="0" fontId="6" fillId="11" borderId="64" xfId="0" applyFont="1" applyFill="1" applyBorder="1" applyAlignment="1">
      <alignment horizontal="center"/>
    </xf>
    <xf numFmtId="0" fontId="6" fillId="11" borderId="62" xfId="0" applyFont="1" applyFill="1" applyBorder="1" applyAlignment="1">
      <alignment horizontal="center"/>
    </xf>
    <xf numFmtId="0" fontId="6" fillId="12" borderId="63" xfId="0" applyFont="1" applyFill="1" applyBorder="1" applyAlignment="1">
      <alignment horizontal="center"/>
    </xf>
    <xf numFmtId="0" fontId="6" fillId="12" borderId="64" xfId="0" applyFont="1" applyFill="1" applyBorder="1" applyAlignment="1">
      <alignment horizontal="center"/>
    </xf>
    <xf numFmtId="0" fontId="6" fillId="12" borderId="62" xfId="0" applyFont="1" applyFill="1" applyBorder="1" applyAlignment="1">
      <alignment horizontal="center"/>
    </xf>
    <xf numFmtId="0" fontId="36" fillId="13" borderId="63" xfId="0" applyFont="1" applyFill="1" applyBorder="1" applyAlignment="1">
      <alignment horizontal="center"/>
    </xf>
    <xf numFmtId="0" fontId="36" fillId="13" borderId="64" xfId="0" applyFont="1" applyFill="1" applyBorder="1" applyAlignment="1">
      <alignment horizontal="center"/>
    </xf>
    <xf numFmtId="0" fontId="36" fillId="13" borderId="62" xfId="0" applyFont="1" applyFill="1" applyBorder="1" applyAlignment="1">
      <alignment horizontal="center"/>
    </xf>
    <xf numFmtId="0" fontId="34" fillId="0" borderId="1" xfId="0" applyFont="1" applyBorder="1" applyAlignment="1">
      <alignment horizontal="center" wrapText="1"/>
    </xf>
    <xf numFmtId="0" fontId="34" fillId="0" borderId="41" xfId="0" applyFont="1" applyBorder="1" applyAlignment="1">
      <alignment horizontal="center" wrapText="1"/>
    </xf>
    <xf numFmtId="0" fontId="34" fillId="0" borderId="2" xfId="0" applyFont="1" applyBorder="1" applyAlignment="1">
      <alignment horizontal="center" wrapText="1"/>
    </xf>
    <xf numFmtId="0" fontId="36" fillId="14" borderId="4" xfId="0" applyFont="1" applyFill="1" applyBorder="1" applyAlignment="1">
      <alignment horizontal="center" wrapText="1"/>
    </xf>
    <xf numFmtId="0" fontId="36" fillId="14" borderId="5" xfId="0" applyFont="1" applyFill="1" applyBorder="1" applyAlignment="1">
      <alignment horizontal="center" wrapText="1"/>
    </xf>
    <xf numFmtId="0" fontId="36" fillId="14" borderId="66" xfId="0" applyFont="1" applyFill="1" applyBorder="1" applyAlignment="1">
      <alignment horizontal="center" wrapText="1"/>
    </xf>
    <xf numFmtId="0" fontId="39" fillId="0" borderId="65" xfId="7" applyFont="1" applyBorder="1" applyAlignment="1">
      <alignment horizontal="center"/>
    </xf>
    <xf numFmtId="0" fontId="39" fillId="0" borderId="72" xfId="7" applyFont="1" applyBorder="1" applyAlignment="1">
      <alignment horizontal="center"/>
    </xf>
    <xf numFmtId="0" fontId="38" fillId="0" borderId="1" xfId="7" applyFont="1" applyBorder="1" applyAlignment="1">
      <alignment horizontal="center"/>
    </xf>
    <xf numFmtId="0" fontId="38" fillId="0" borderId="41" xfId="7" applyFont="1" applyBorder="1" applyAlignment="1">
      <alignment horizontal="center"/>
    </xf>
    <xf numFmtId="0" fontId="38" fillId="0" borderId="2" xfId="7" applyFont="1" applyBorder="1" applyAlignment="1">
      <alignment horizontal="center"/>
    </xf>
    <xf numFmtId="0" fontId="39" fillId="0" borderId="29" xfId="7" applyFont="1" applyBorder="1" applyAlignment="1">
      <alignment horizontal="center"/>
    </xf>
    <xf numFmtId="0" fontId="39" fillId="0" borderId="60" xfId="7" applyFont="1" applyBorder="1" applyAlignment="1">
      <alignment horizontal="center"/>
    </xf>
    <xf numFmtId="0" fontId="39" fillId="0" borderId="65" xfId="7" applyFont="1" applyBorder="1" applyAlignment="1">
      <alignment horizontal="center" wrapText="1"/>
    </xf>
    <xf numFmtId="0" fontId="39" fillId="0" borderId="16" xfId="7" applyFont="1" applyBorder="1" applyAlignment="1">
      <alignment horizontal="center" wrapText="1"/>
    </xf>
    <xf numFmtId="0" fontId="40" fillId="0" borderId="65" xfId="7" applyFont="1" applyBorder="1" applyAlignment="1">
      <alignment horizontal="center" wrapText="1"/>
    </xf>
    <xf numFmtId="0" fontId="40" fillId="0" borderId="16" xfId="7" applyFont="1" applyBorder="1" applyAlignment="1">
      <alignment horizontal="center" wrapText="1"/>
    </xf>
    <xf numFmtId="0" fontId="45" fillId="0" borderId="1" xfId="8" applyFont="1" applyBorder="1" applyAlignment="1">
      <alignment horizontal="center"/>
    </xf>
    <xf numFmtId="0" fontId="45" fillId="0" borderId="41" xfId="8" applyFont="1" applyBorder="1" applyAlignment="1">
      <alignment horizontal="center"/>
    </xf>
    <xf numFmtId="0" fontId="45" fillId="0" borderId="2" xfId="8" applyFont="1" applyBorder="1" applyAlignment="1">
      <alignment horizontal="center"/>
    </xf>
    <xf numFmtId="0" fontId="1" fillId="0" borderId="7" xfId="8" applyBorder="1" applyAlignment="1">
      <alignment horizontal="center" vertical="center"/>
    </xf>
    <xf numFmtId="0" fontId="1" fillId="0" borderId="44" xfId="8" applyBorder="1" applyAlignment="1">
      <alignment horizontal="center" vertical="center"/>
    </xf>
    <xf numFmtId="0" fontId="34" fillId="6" borderId="13" xfId="8" applyFont="1" applyFill="1" applyBorder="1" applyAlignment="1">
      <alignment horizontal="center" vertical="center"/>
    </xf>
    <xf numFmtId="0" fontId="34" fillId="6" borderId="12" xfId="8" applyFont="1" applyFill="1" applyBorder="1" applyAlignment="1">
      <alignment horizontal="center" vertical="center"/>
    </xf>
    <xf numFmtId="0" fontId="34" fillId="15" borderId="13" xfId="8" applyFont="1" applyFill="1" applyBorder="1" applyAlignment="1">
      <alignment horizontal="center" vertical="center"/>
    </xf>
    <xf numFmtId="0" fontId="34" fillId="15" borderId="12" xfId="8" applyFont="1" applyFill="1" applyBorder="1" applyAlignment="1">
      <alignment horizontal="center" vertical="center"/>
    </xf>
    <xf numFmtId="0" fontId="1" fillId="6" borderId="45" xfId="8" applyFill="1" applyBorder="1" applyAlignment="1">
      <alignment horizontal="center" wrapText="1"/>
    </xf>
    <xf numFmtId="0" fontId="1" fillId="6" borderId="35" xfId="8" applyFill="1" applyBorder="1" applyAlignment="1">
      <alignment horizontal="center" wrapText="1"/>
    </xf>
    <xf numFmtId="0" fontId="1" fillId="15" borderId="55" xfId="8" applyFill="1" applyBorder="1" applyAlignment="1">
      <alignment horizontal="center" wrapText="1"/>
    </xf>
    <xf numFmtId="0" fontId="1" fillId="15" borderId="61" xfId="8" applyFill="1" applyBorder="1" applyAlignment="1">
      <alignment horizontal="center" wrapText="1"/>
    </xf>
    <xf numFmtId="0" fontId="1" fillId="0" borderId="58" xfId="8" applyBorder="1" applyAlignment="1">
      <alignment horizontal="center" vertical="center"/>
    </xf>
    <xf numFmtId="0" fontId="34" fillId="16" borderId="1" xfId="8" applyFont="1" applyFill="1" applyBorder="1" applyAlignment="1">
      <alignment horizontal="center" vertical="center"/>
    </xf>
    <xf numFmtId="0" fontId="34" fillId="16" borderId="2" xfId="8" applyFont="1" applyFill="1" applyBorder="1" applyAlignment="1">
      <alignment horizontal="center" vertical="center"/>
    </xf>
    <xf numFmtId="0" fontId="34" fillId="17" borderId="1" xfId="8" applyFont="1" applyFill="1" applyBorder="1" applyAlignment="1">
      <alignment horizontal="center" vertical="center"/>
    </xf>
    <xf numFmtId="0" fontId="34" fillId="17" borderId="2" xfId="8" applyFont="1" applyFill="1" applyBorder="1" applyAlignment="1">
      <alignment horizontal="center" vertical="center"/>
    </xf>
    <xf numFmtId="0" fontId="1" fillId="16" borderId="45" xfId="8" applyFill="1" applyBorder="1" applyAlignment="1">
      <alignment horizontal="center" wrapText="1"/>
    </xf>
    <xf numFmtId="0" fontId="1" fillId="16" borderId="23" xfId="8" applyFill="1" applyBorder="1" applyAlignment="1">
      <alignment horizontal="center" wrapText="1"/>
    </xf>
    <xf numFmtId="0" fontId="1" fillId="17" borderId="55" xfId="8" applyFill="1" applyBorder="1" applyAlignment="1">
      <alignment horizontal="center" wrapText="1"/>
    </xf>
    <xf numFmtId="0" fontId="1" fillId="17" borderId="53" xfId="8" applyFill="1" applyBorder="1" applyAlignment="1">
      <alignment horizontal="center" wrapText="1"/>
    </xf>
    <xf numFmtId="0" fontId="34" fillId="19" borderId="13" xfId="8" applyFont="1" applyFill="1" applyBorder="1" applyAlignment="1">
      <alignment horizontal="center" vertical="center"/>
    </xf>
    <xf numFmtId="0" fontId="34" fillId="19" borderId="12" xfId="8" applyFont="1" applyFill="1" applyBorder="1" applyAlignment="1">
      <alignment horizontal="center" vertical="center"/>
    </xf>
    <xf numFmtId="0" fontId="34" fillId="20" borderId="13" xfId="8" applyFont="1" applyFill="1" applyBorder="1" applyAlignment="1">
      <alignment horizontal="center" vertical="center"/>
    </xf>
    <xf numFmtId="0" fontId="34" fillId="20" borderId="12" xfId="8" applyFont="1" applyFill="1" applyBorder="1" applyAlignment="1">
      <alignment horizontal="center" vertical="center"/>
    </xf>
    <xf numFmtId="0" fontId="1" fillId="19" borderId="45" xfId="8" applyFill="1" applyBorder="1" applyAlignment="1">
      <alignment horizontal="center" wrapText="1"/>
    </xf>
    <xf numFmtId="0" fontId="1" fillId="19" borderId="35" xfId="8" applyFill="1" applyBorder="1" applyAlignment="1">
      <alignment horizontal="center" wrapText="1"/>
    </xf>
    <xf numFmtId="0" fontId="1" fillId="20" borderId="55" xfId="8" applyFill="1" applyBorder="1" applyAlignment="1">
      <alignment horizontal="center" wrapText="1"/>
    </xf>
    <xf numFmtId="0" fontId="1" fillId="20" borderId="61" xfId="8" applyFill="1" applyBorder="1" applyAlignment="1">
      <alignment horizontal="center" wrapText="1"/>
    </xf>
    <xf numFmtId="0" fontId="34" fillId="18" borderId="13" xfId="8" applyFont="1" applyFill="1" applyBorder="1" applyAlignment="1">
      <alignment horizontal="center" vertical="center"/>
    </xf>
    <xf numFmtId="0" fontId="34" fillId="18" borderId="12" xfId="8" applyFont="1" applyFill="1" applyBorder="1" applyAlignment="1">
      <alignment horizontal="center" vertical="center"/>
    </xf>
    <xf numFmtId="0" fontId="34" fillId="12" borderId="13" xfId="8" applyFont="1" applyFill="1" applyBorder="1" applyAlignment="1">
      <alignment horizontal="center" vertical="center"/>
    </xf>
    <xf numFmtId="0" fontId="34" fillId="12" borderId="12" xfId="8" applyFont="1" applyFill="1" applyBorder="1" applyAlignment="1">
      <alignment horizontal="center" vertical="center"/>
    </xf>
    <xf numFmtId="0" fontId="1" fillId="18" borderId="45" xfId="8" applyFill="1" applyBorder="1" applyAlignment="1">
      <alignment horizontal="center" wrapText="1"/>
    </xf>
    <xf numFmtId="0" fontId="1" fillId="18" borderId="23" xfId="8" applyFill="1" applyBorder="1" applyAlignment="1">
      <alignment horizontal="center" wrapText="1"/>
    </xf>
    <xf numFmtId="0" fontId="1" fillId="12" borderId="55" xfId="8" applyFill="1" applyBorder="1" applyAlignment="1">
      <alignment horizontal="center" wrapText="1"/>
    </xf>
    <xf numFmtId="0" fontId="1" fillId="12" borderId="53" xfId="8" applyFill="1" applyBorder="1" applyAlignment="1">
      <alignment horizontal="center" wrapText="1"/>
    </xf>
    <xf numFmtId="0" fontId="1" fillId="0" borderId="71" xfId="8" applyBorder="1" applyAlignment="1">
      <alignment horizontal="center"/>
    </xf>
    <xf numFmtId="3" fontId="1" fillId="0" borderId="71" xfId="8" applyNumberFormat="1" applyBorder="1" applyAlignment="1">
      <alignment horizontal="center"/>
    </xf>
    <xf numFmtId="3" fontId="1" fillId="0" borderId="46" xfId="8" applyNumberFormat="1" applyBorder="1" applyAlignment="1">
      <alignment horizontal="center"/>
    </xf>
    <xf numFmtId="169" fontId="0" fillId="0" borderId="16" xfId="9" applyNumberFormat="1" applyFont="1" applyBorder="1" applyAlignment="1">
      <alignment horizontal="center"/>
    </xf>
    <xf numFmtId="168" fontId="0" fillId="0" borderId="49" xfId="9" applyNumberFormat="1" applyFont="1" applyBorder="1" applyAlignment="1">
      <alignment horizontal="center"/>
    </xf>
    <xf numFmtId="169" fontId="0" fillId="0" borderId="17" xfId="9" applyNumberFormat="1" applyFont="1" applyBorder="1" applyAlignment="1">
      <alignment horizontal="center"/>
    </xf>
    <xf numFmtId="168" fontId="0" fillId="0" borderId="47" xfId="9" applyNumberFormat="1" applyFont="1" applyBorder="1" applyAlignment="1">
      <alignment horizontal="center"/>
    </xf>
    <xf numFmtId="0" fontId="34" fillId="0" borderId="1" xfId="8" applyFont="1" applyBorder="1" applyAlignment="1">
      <alignment horizontal="center" vertical="center"/>
    </xf>
    <xf numFmtId="0" fontId="34" fillId="0" borderId="2" xfId="8" applyFont="1" applyBorder="1" applyAlignment="1">
      <alignment horizontal="center" vertical="center"/>
    </xf>
    <xf numFmtId="0" fontId="34" fillId="6" borderId="41" xfId="8" applyFont="1" applyFill="1" applyBorder="1" applyAlignment="1">
      <alignment horizontal="center" vertical="center"/>
    </xf>
    <xf numFmtId="0" fontId="34" fillId="6" borderId="2" xfId="8" applyFont="1" applyFill="1" applyBorder="1" applyAlignment="1">
      <alignment horizontal="center" vertical="center"/>
    </xf>
    <xf numFmtId="0" fontId="34" fillId="12" borderId="1" xfId="8" applyFont="1" applyFill="1" applyBorder="1" applyAlignment="1">
      <alignment horizontal="center" vertical="center"/>
    </xf>
    <xf numFmtId="0" fontId="34" fillId="12" borderId="2" xfId="8" applyFont="1" applyFill="1" applyBorder="1" applyAlignment="1">
      <alignment horizontal="center" vertical="center"/>
    </xf>
    <xf numFmtId="0" fontId="34" fillId="22" borderId="1" xfId="8" applyFont="1" applyFill="1" applyBorder="1" applyAlignment="1">
      <alignment horizontal="center" vertical="center" wrapText="1"/>
    </xf>
    <xf numFmtId="0" fontId="34" fillId="22" borderId="2" xfId="8" applyFont="1" applyFill="1" applyBorder="1" applyAlignment="1">
      <alignment horizontal="center" vertical="center" wrapText="1"/>
    </xf>
    <xf numFmtId="0" fontId="34" fillId="21" borderId="1" xfId="8" applyFont="1" applyFill="1" applyBorder="1" applyAlignment="1">
      <alignment horizontal="center" vertical="center" wrapText="1"/>
    </xf>
    <xf numFmtId="0" fontId="34" fillId="21" borderId="2" xfId="8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67" fillId="20" borderId="1" xfId="0" applyFont="1" applyFill="1" applyBorder="1" applyAlignment="1">
      <alignment horizontal="left"/>
    </xf>
    <xf numFmtId="0" fontId="67" fillId="20" borderId="41" xfId="0" applyFont="1" applyFill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65" xfId="0" applyBorder="1" applyAlignment="1">
      <alignment horizontal="left"/>
    </xf>
    <xf numFmtId="0" fontId="68" fillId="0" borderId="15" xfId="0" applyFont="1" applyBorder="1" applyAlignment="1">
      <alignment horizontal="left"/>
    </xf>
    <xf numFmtId="0" fontId="68" fillId="0" borderId="16" xfId="0" applyFont="1" applyBorder="1" applyAlignment="1">
      <alignment horizontal="left"/>
    </xf>
    <xf numFmtId="0" fontId="67" fillId="20" borderId="1" xfId="0" applyFont="1" applyFill="1" applyBorder="1" applyAlignment="1">
      <alignment horizontal="left" wrapText="1"/>
    </xf>
    <xf numFmtId="0" fontId="67" fillId="20" borderId="41" xfId="0" applyFont="1" applyFill="1" applyBorder="1" applyAlignment="1">
      <alignment horizontal="left" wrapText="1"/>
    </xf>
    <xf numFmtId="0" fontId="68" fillId="0" borderId="28" xfId="0" applyFont="1" applyBorder="1" applyAlignment="1">
      <alignment horizontal="left"/>
    </xf>
    <xf numFmtId="0" fontId="68" fillId="0" borderId="30" xfId="0" applyFont="1" applyBorder="1" applyAlignment="1">
      <alignment horizontal="left"/>
    </xf>
    <xf numFmtId="0" fontId="67" fillId="20" borderId="63" xfId="0" applyFont="1" applyFill="1" applyBorder="1" applyAlignment="1">
      <alignment horizontal="left"/>
    </xf>
    <xf numFmtId="0" fontId="67" fillId="20" borderId="64" xfId="0" applyFont="1" applyFill="1" applyBorder="1" applyAlignment="1">
      <alignment horizontal="left"/>
    </xf>
    <xf numFmtId="0" fontId="67" fillId="20" borderId="68" xfId="0" applyFont="1" applyFill="1" applyBorder="1" applyAlignment="1">
      <alignment horizontal="left"/>
    </xf>
    <xf numFmtId="0" fontId="68" fillId="0" borderId="29" xfId="0" applyFont="1" applyBorder="1" applyAlignment="1">
      <alignment horizontal="left"/>
    </xf>
    <xf numFmtId="0" fontId="68" fillId="0" borderId="65" xfId="0" applyFont="1" applyBorder="1" applyAlignment="1">
      <alignment horizontal="left"/>
    </xf>
    <xf numFmtId="0" fontId="72" fillId="39" borderId="3" xfId="0" applyFont="1" applyFill="1" applyBorder="1" applyAlignment="1">
      <alignment horizontal="center" wrapText="1"/>
    </xf>
    <xf numFmtId="0" fontId="72" fillId="39" borderId="8" xfId="0" applyFont="1" applyFill="1" applyBorder="1" applyAlignment="1">
      <alignment horizontal="center" wrapText="1"/>
    </xf>
    <xf numFmtId="0" fontId="72" fillId="39" borderId="9" xfId="0" applyFont="1" applyFill="1" applyBorder="1" applyAlignment="1">
      <alignment horizontal="center" wrapText="1"/>
    </xf>
    <xf numFmtId="0" fontId="72" fillId="39" borderId="52" xfId="0" applyFont="1" applyFill="1" applyBorder="1" applyAlignment="1">
      <alignment horizontal="center" wrapText="1"/>
    </xf>
    <xf numFmtId="0" fontId="72" fillId="39" borderId="48" xfId="0" applyFont="1" applyFill="1" applyBorder="1" applyAlignment="1">
      <alignment horizontal="center" wrapText="1"/>
    </xf>
    <xf numFmtId="0" fontId="72" fillId="39" borderId="59" xfId="0" applyFont="1" applyFill="1" applyBorder="1" applyAlignment="1">
      <alignment horizontal="center" wrapText="1"/>
    </xf>
    <xf numFmtId="0" fontId="68" fillId="0" borderId="33" xfId="0" applyFont="1" applyBorder="1" applyAlignment="1">
      <alignment horizontal="left"/>
    </xf>
    <xf numFmtId="0" fontId="68" fillId="0" borderId="42" xfId="0" applyFont="1" applyBorder="1" applyAlignment="1">
      <alignment horizontal="left"/>
    </xf>
    <xf numFmtId="0" fontId="67" fillId="20" borderId="73" xfId="0" applyFont="1" applyFill="1" applyBorder="1" applyAlignment="1">
      <alignment horizontal="left"/>
    </xf>
    <xf numFmtId="0" fontId="68" fillId="0" borderId="43" xfId="0" applyFont="1" applyBorder="1" applyAlignment="1">
      <alignment horizontal="left"/>
    </xf>
    <xf numFmtId="0" fontId="76" fillId="0" borderId="0" xfId="59" applyFont="1" applyAlignment="1">
      <alignment horizontal="center" vertical="center"/>
    </xf>
  </cellXfs>
  <cellStyles count="60"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60% - Accent1" xfId="23"/>
    <cellStyle name="60% - Accent2" xfId="24"/>
    <cellStyle name="60% - Accent3" xfId="25"/>
    <cellStyle name="60% - Accent4" xfId="26"/>
    <cellStyle name="60% - Accent5" xfId="27"/>
    <cellStyle name="60% - Accent6" xfId="28"/>
    <cellStyle name="Accent1" xfId="29"/>
    <cellStyle name="Accent2" xfId="30"/>
    <cellStyle name="Accent3" xfId="31"/>
    <cellStyle name="Accent4" xfId="32"/>
    <cellStyle name="Accent5" xfId="33"/>
    <cellStyle name="Accent6" xfId="34"/>
    <cellStyle name="Bad" xfId="35"/>
    <cellStyle name="Calculation" xfId="36"/>
    <cellStyle name="Check Cell" xfId="37"/>
    <cellStyle name="Explanatory Text" xfId="38"/>
    <cellStyle name="Good" xfId="39"/>
    <cellStyle name="Heading 1" xfId="40"/>
    <cellStyle name="Heading 2" xfId="41"/>
    <cellStyle name="Heading 3" xfId="42"/>
    <cellStyle name="Heading 4" xfId="43"/>
    <cellStyle name="Input" xfId="44"/>
    <cellStyle name="Linked Cell" xfId="45"/>
    <cellStyle name="Neutral" xfId="46"/>
    <cellStyle name="Normal 2" xfId="47"/>
    <cellStyle name="Normal_Sheet1" xfId="58"/>
    <cellStyle name="Normalno 2" xfId="48"/>
    <cellStyle name="Note" xfId="49"/>
    <cellStyle name="Obično" xfId="0" builtinId="0"/>
    <cellStyle name="Obično 2" xfId="2"/>
    <cellStyle name="Obično 2 2" xfId="1"/>
    <cellStyle name="Obično 2 3" xfId="7"/>
    <cellStyle name="Obično 2 4" xfId="10"/>
    <cellStyle name="Obično 3" xfId="8"/>
    <cellStyle name="Obično 3 2" xfId="50"/>
    <cellStyle name="Obično 3 3" xfId="51"/>
    <cellStyle name="Obično 4" xfId="52"/>
    <cellStyle name="Obično 5" xfId="53"/>
    <cellStyle name="Obično 6" xfId="59"/>
    <cellStyle name="Output" xfId="54"/>
    <cellStyle name="Title" xfId="55"/>
    <cellStyle name="Total" xfId="56"/>
    <cellStyle name="Warning Text" xfId="57"/>
    <cellStyle name="Zarez [0] 2" xfId="6"/>
    <cellStyle name="Zarez 2" xfId="3"/>
    <cellStyle name="Zarez 2 2" xfId="4"/>
    <cellStyle name="Zarez 2 3" xfId="5"/>
    <cellStyle name="Zarez 3" xfId="9"/>
  </cellStyles>
  <dxfs count="0"/>
  <tableStyles count="0" defaultTableStyle="TableStyleMedium9" defaultPivotStyle="PivotStyleLight16"/>
  <colors>
    <mruColors>
      <color rgb="FFD8DDF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Zauzetost </a:t>
            </a:r>
            <a:r>
              <a:rPr lang="hr-HR"/>
              <a:t> </a:t>
            </a:r>
            <a:r>
              <a:rPr lang="en-US">
                <a:solidFill>
                  <a:srgbClr val="FF0000"/>
                </a:solidFill>
              </a:rPr>
              <a:t>SOBA</a:t>
            </a:r>
            <a:r>
              <a:rPr lang="en-US"/>
              <a:t> po objek</a:t>
            </a:r>
            <a:r>
              <a:rPr lang="hr-HR"/>
              <a:t>t</a:t>
            </a:r>
            <a:r>
              <a:rPr lang="en-US"/>
              <a:t>ima </a:t>
            </a:r>
            <a:r>
              <a:rPr lang="hr-HR"/>
              <a:t>   </a:t>
            </a:r>
          </a:p>
          <a:p>
            <a:pPr>
              <a:defRPr/>
            </a:pPr>
            <a:r>
              <a:rPr lang="en-US"/>
              <a:t>20</a:t>
            </a:r>
            <a:r>
              <a:rPr lang="hr-HR"/>
              <a:t>21</a:t>
            </a:r>
            <a:r>
              <a:rPr lang="en-US"/>
              <a:t>. god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v>DUBRAVA</c:v>
          </c:tx>
          <c:val>
            <c:numRef>
              <c:f>'tab 2'!$B$7:$B$18</c:f>
              <c:numCache>
                <c:formatCode>#,##0</c:formatCode>
                <c:ptCount val="12"/>
                <c:pt idx="0">
                  <c:v>64</c:v>
                </c:pt>
                <c:pt idx="1">
                  <c:v>183</c:v>
                </c:pt>
                <c:pt idx="2">
                  <c:v>277</c:v>
                </c:pt>
                <c:pt idx="3">
                  <c:v>182</c:v>
                </c:pt>
                <c:pt idx="4">
                  <c:v>303</c:v>
                </c:pt>
                <c:pt idx="5">
                  <c:v>339</c:v>
                </c:pt>
                <c:pt idx="6">
                  <c:v>513</c:v>
                </c:pt>
                <c:pt idx="7">
                  <c:v>623</c:v>
                </c:pt>
                <c:pt idx="8">
                  <c:v>612</c:v>
                </c:pt>
                <c:pt idx="9">
                  <c:v>540</c:v>
                </c:pt>
                <c:pt idx="10">
                  <c:v>394</c:v>
                </c:pt>
                <c:pt idx="11">
                  <c:v>261</c:v>
                </c:pt>
              </c:numCache>
            </c:numRef>
          </c:val>
        </c:ser>
        <c:ser>
          <c:idx val="1"/>
          <c:order val="1"/>
          <c:tx>
            <c:v>FIZIJATRIJA IV KAT</c:v>
          </c:tx>
          <c:val>
            <c:numRef>
              <c:f>'tab 2'!$E$7:$E$18</c:f>
              <c:numCache>
                <c:formatCode>#,##0</c:formatCode>
                <c:ptCount val="12"/>
                <c:pt idx="0">
                  <c:v>95</c:v>
                </c:pt>
                <c:pt idx="1">
                  <c:v>169</c:v>
                </c:pt>
                <c:pt idx="2">
                  <c:v>238</c:v>
                </c:pt>
                <c:pt idx="3">
                  <c:v>128</c:v>
                </c:pt>
                <c:pt idx="4">
                  <c:v>160</c:v>
                </c:pt>
                <c:pt idx="5">
                  <c:v>370</c:v>
                </c:pt>
                <c:pt idx="6">
                  <c:v>273</c:v>
                </c:pt>
                <c:pt idx="7">
                  <c:v>159</c:v>
                </c:pt>
                <c:pt idx="8">
                  <c:v>292</c:v>
                </c:pt>
                <c:pt idx="9">
                  <c:v>307</c:v>
                </c:pt>
                <c:pt idx="10">
                  <c:v>304</c:v>
                </c:pt>
                <c:pt idx="11">
                  <c:v>288</c:v>
                </c:pt>
              </c:numCache>
            </c:numRef>
          </c:val>
        </c:ser>
        <c:ser>
          <c:idx val="2"/>
          <c:order val="2"/>
          <c:tx>
            <c:v>EUROPA I i II </c:v>
          </c:tx>
          <c:val>
            <c:numRef>
              <c:f>'tab 2'!$H$7:$H$18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165</c:v>
                </c:pt>
                <c:pt idx="7">
                  <c:v>703</c:v>
                </c:pt>
                <c:pt idx="8">
                  <c:v>588</c:v>
                </c:pt>
                <c:pt idx="9">
                  <c:v>256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marker val="1"/>
        <c:axId val="141596928"/>
        <c:axId val="110493696"/>
      </c:lineChart>
      <c:catAx>
        <c:axId val="141596928"/>
        <c:scaling>
          <c:orientation val="minMax"/>
        </c:scaling>
        <c:axPos val="b"/>
        <c:majorTickMark val="none"/>
        <c:tickLblPos val="nextTo"/>
        <c:crossAx val="110493696"/>
        <c:crosses val="autoZero"/>
        <c:auto val="1"/>
        <c:lblAlgn val="ctr"/>
        <c:lblOffset val="100"/>
      </c:catAx>
      <c:valAx>
        <c:axId val="110493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Broj noćenja</a:t>
                </a:r>
              </a:p>
            </c:rich>
          </c:tx>
        </c:title>
        <c:numFmt formatCode="#,##0" sourceLinked="1"/>
        <c:majorTickMark val="none"/>
        <c:tickLblPos val="nextTo"/>
        <c:crossAx val="1415969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921" l="0.70000000000000062" r="0.70000000000000062" t="0.75000000000000921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8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</a:t>
            </a:r>
            <a:r>
              <a:rPr lang="hr-HR"/>
              <a:t>PLINA </a:t>
            </a:r>
            <a:r>
              <a:rPr lang="en-US"/>
              <a:t>U </a:t>
            </a:r>
            <a:r>
              <a:rPr lang="en-US">
                <a:solidFill>
                  <a:srgbClr val="FF0000"/>
                </a:solidFill>
              </a:rPr>
              <a:t>KUNAMA</a:t>
            </a:r>
            <a:r>
              <a:rPr lang="en-US"/>
              <a:t>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20</a:t>
            </a:r>
            <a:r>
              <a:rPr lang="en-US"/>
              <a:t>./20</a:t>
            </a:r>
            <a:r>
              <a:rPr lang="hr-HR"/>
              <a:t>21</a:t>
            </a:r>
            <a:r>
              <a:rPr lang="en-US"/>
              <a:t>. GODINA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2020. GODINA</c:v>
          </c:tx>
          <c:val>
            <c:numRef>
              <c:f>'tab 8'!$C$7:$C$18</c:f>
              <c:numCache>
                <c:formatCode>#,##0.00\ [$kn-41A]</c:formatCode>
                <c:ptCount val="12"/>
                <c:pt idx="0">
                  <c:v>13323.75</c:v>
                </c:pt>
                <c:pt idx="1">
                  <c:v>11404.01</c:v>
                </c:pt>
                <c:pt idx="2">
                  <c:v>0</c:v>
                </c:pt>
                <c:pt idx="3">
                  <c:v>0</c:v>
                </c:pt>
                <c:pt idx="4">
                  <c:v>8711.56</c:v>
                </c:pt>
                <c:pt idx="5">
                  <c:v>0</c:v>
                </c:pt>
                <c:pt idx="6">
                  <c:v>11532.8</c:v>
                </c:pt>
                <c:pt idx="7">
                  <c:v>0</c:v>
                </c:pt>
                <c:pt idx="8">
                  <c:v>0</c:v>
                </c:pt>
                <c:pt idx="9">
                  <c:v>12622.5</c:v>
                </c:pt>
                <c:pt idx="10">
                  <c:v>12349.95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2021. GODINA</c:v>
          </c:tx>
          <c:val>
            <c:numRef>
              <c:f>'tab 8'!$E$7:$E$18</c:f>
              <c:numCache>
                <c:formatCode>#,##0.00\ [$kn-41A]</c:formatCode>
                <c:ptCount val="12"/>
                <c:pt idx="0">
                  <c:v>0</c:v>
                </c:pt>
                <c:pt idx="1">
                  <c:v>12034.78</c:v>
                </c:pt>
                <c:pt idx="2">
                  <c:v>0</c:v>
                </c:pt>
                <c:pt idx="3">
                  <c:v>9936.39</c:v>
                </c:pt>
                <c:pt idx="4">
                  <c:v>11640</c:v>
                </c:pt>
                <c:pt idx="5">
                  <c:v>0</c:v>
                </c:pt>
                <c:pt idx="6">
                  <c:v>13460</c:v>
                </c:pt>
                <c:pt idx="7">
                  <c:v>0</c:v>
                </c:pt>
                <c:pt idx="8">
                  <c:v>13737.15</c:v>
                </c:pt>
                <c:pt idx="9">
                  <c:v>16300</c:v>
                </c:pt>
                <c:pt idx="10">
                  <c:v>0</c:v>
                </c:pt>
                <c:pt idx="11">
                  <c:v>19125</c:v>
                </c:pt>
              </c:numCache>
            </c:numRef>
          </c:val>
        </c:ser>
        <c:axId val="143193600"/>
        <c:axId val="143195136"/>
      </c:barChart>
      <c:catAx>
        <c:axId val="143193600"/>
        <c:scaling>
          <c:orientation val="minMax"/>
        </c:scaling>
        <c:axPos val="b"/>
        <c:majorTickMark val="none"/>
        <c:tickLblPos val="nextTo"/>
        <c:crossAx val="143195136"/>
        <c:crosses val="autoZero"/>
        <c:auto val="1"/>
        <c:lblAlgn val="ctr"/>
        <c:lblOffset val="100"/>
      </c:catAx>
      <c:valAx>
        <c:axId val="143195136"/>
        <c:scaling>
          <c:orientation val="minMax"/>
        </c:scaling>
        <c:axPos val="l"/>
        <c:majorGridlines/>
        <c:numFmt formatCode="#,##0.00\ [$kn-41A]" sourceLinked="1"/>
        <c:majorTickMark val="none"/>
        <c:tickLblPos val="nextTo"/>
        <c:crossAx val="14319360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UTROŠAK ENERGENATA </a:t>
            </a:r>
            <a:r>
              <a:rPr lang="hr-HR"/>
              <a:t>i</a:t>
            </a:r>
            <a:r>
              <a:rPr lang="hr-HR" baseline="0"/>
              <a:t> VODE </a:t>
            </a:r>
            <a:r>
              <a:rPr lang="en-US"/>
              <a:t>U KUNAMA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20</a:t>
            </a:r>
            <a:r>
              <a:rPr lang="en-US"/>
              <a:t>./202</a:t>
            </a:r>
            <a:r>
              <a:rPr lang="hr-HR"/>
              <a:t>1</a:t>
            </a:r>
            <a:r>
              <a:rPr lang="en-US"/>
              <a:t>. GODINE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2020</c:v>
          </c:tx>
          <c:dLbls>
            <c:showSerName val="1"/>
          </c:dLbls>
          <c:cat>
            <c:strRef>
              <c:f>'tab 9'!$A$7:$A$10</c:f>
              <c:strCache>
                <c:ptCount val="4"/>
                <c:pt idx="0">
                  <c:v>LOŽ ULJE</c:v>
                </c:pt>
                <c:pt idx="1">
                  <c:v>ELEKTRIČNA ENERGIJA</c:v>
                </c:pt>
                <c:pt idx="2">
                  <c:v>PLIN</c:v>
                </c:pt>
                <c:pt idx="3">
                  <c:v>VODA</c:v>
                </c:pt>
              </c:strCache>
            </c:strRef>
          </c:cat>
          <c:val>
            <c:numRef>
              <c:f>'tab 9'!$D$7:$D$10</c:f>
              <c:numCache>
                <c:formatCode>#,##0.00\ [$kn-41A]</c:formatCode>
                <c:ptCount val="4"/>
                <c:pt idx="0">
                  <c:v>661730.18000000005</c:v>
                </c:pt>
                <c:pt idx="1">
                  <c:v>1194876.94</c:v>
                </c:pt>
                <c:pt idx="2">
                  <c:v>69944.570000000007</c:v>
                </c:pt>
                <c:pt idx="3">
                  <c:v>458343.58</c:v>
                </c:pt>
              </c:numCache>
            </c:numRef>
          </c:val>
        </c:ser>
        <c:ser>
          <c:idx val="1"/>
          <c:order val="1"/>
          <c:tx>
            <c:v>2021</c:v>
          </c:tx>
          <c:dLbls>
            <c:showSerName val="1"/>
          </c:dLbls>
          <c:cat>
            <c:strRef>
              <c:f>'tab 9'!$A$7:$A$10</c:f>
              <c:strCache>
                <c:ptCount val="4"/>
                <c:pt idx="0">
                  <c:v>LOŽ ULJE</c:v>
                </c:pt>
                <c:pt idx="1">
                  <c:v>ELEKTRIČNA ENERGIJA</c:v>
                </c:pt>
                <c:pt idx="2">
                  <c:v>PLIN</c:v>
                </c:pt>
                <c:pt idx="3">
                  <c:v>VODA</c:v>
                </c:pt>
              </c:strCache>
            </c:strRef>
          </c:cat>
          <c:val>
            <c:numRef>
              <c:f>'tab 9'!$F$7:$F$10</c:f>
              <c:numCache>
                <c:formatCode>#,##0.00\ [$kn-41A]</c:formatCode>
                <c:ptCount val="4"/>
                <c:pt idx="0">
                  <c:v>955874.33</c:v>
                </c:pt>
                <c:pt idx="1">
                  <c:v>1337431.45</c:v>
                </c:pt>
                <c:pt idx="2">
                  <c:v>96233.32</c:v>
                </c:pt>
                <c:pt idx="3">
                  <c:v>487430.37</c:v>
                </c:pt>
              </c:numCache>
            </c:numRef>
          </c:val>
        </c:ser>
        <c:axId val="142566144"/>
        <c:axId val="142567680"/>
      </c:barChart>
      <c:catAx>
        <c:axId val="142566144"/>
        <c:scaling>
          <c:orientation val="minMax"/>
        </c:scaling>
        <c:axPos val="b"/>
        <c:majorTickMark val="none"/>
        <c:tickLblPos val="nextTo"/>
        <c:crossAx val="142567680"/>
        <c:crosses val="autoZero"/>
        <c:auto val="1"/>
        <c:lblAlgn val="ctr"/>
        <c:lblOffset val="100"/>
      </c:catAx>
      <c:valAx>
        <c:axId val="142567680"/>
        <c:scaling>
          <c:orientation val="minMax"/>
        </c:scaling>
        <c:axPos val="l"/>
        <c:majorGridlines/>
        <c:numFmt formatCode="#,##0.00\ [$kn-41A]" sourceLinked="1"/>
        <c:majorTickMark val="none"/>
        <c:tickLblPos val="nextTo"/>
        <c:crossAx val="142566144"/>
        <c:crosses val="autoZero"/>
        <c:crossBetween val="between"/>
      </c:valAx>
    </c:plotArea>
    <c:plotVisOnly val="1"/>
  </c:chart>
  <c:printSettings>
    <c:headerFooter/>
    <c:pageMargins b="0.75000000000000389" l="0.70000000000000062" r="0.70000000000000062" t="0.750000000000003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Broj noćenja pacijenata HZZO po mjesecima 202</a:t>
            </a:r>
            <a:r>
              <a:rPr lang="hr-HR"/>
              <a:t>1</a:t>
            </a:r>
            <a:r>
              <a:rPr lang="en-US"/>
              <a:t>. godine</a:t>
            </a:r>
          </a:p>
        </c:rich>
      </c:tx>
    </c:title>
    <c:plotArea>
      <c:layout/>
      <c:lineChart>
        <c:grouping val="standard"/>
        <c:ser>
          <c:idx val="0"/>
          <c:order val="0"/>
          <c:marker>
            <c:symbol val="none"/>
          </c:marker>
          <c:cat>
            <c:strRef>
              <c:f>'tab 3'!$A$7:$A$18</c:f>
              <c:strCache>
                <c:ptCount val="12"/>
                <c:pt idx="0">
                  <c:v>01/2021</c:v>
                </c:pt>
                <c:pt idx="1">
                  <c:v>02/2021</c:v>
                </c:pt>
                <c:pt idx="2">
                  <c:v>03/2021</c:v>
                </c:pt>
                <c:pt idx="3">
                  <c:v>04/2021</c:v>
                </c:pt>
                <c:pt idx="4">
                  <c:v>05/2021</c:v>
                </c:pt>
                <c:pt idx="5">
                  <c:v>06/2021</c:v>
                </c:pt>
                <c:pt idx="6">
                  <c:v>07/2021</c:v>
                </c:pt>
                <c:pt idx="7">
                  <c:v>08/2021</c:v>
                </c:pt>
                <c:pt idx="8">
                  <c:v>09/2021</c:v>
                </c:pt>
                <c:pt idx="9">
                  <c:v>10/2021</c:v>
                </c:pt>
                <c:pt idx="10">
                  <c:v>11/2021</c:v>
                </c:pt>
                <c:pt idx="11">
                  <c:v>12/2021</c:v>
                </c:pt>
              </c:strCache>
            </c:strRef>
          </c:cat>
          <c:val>
            <c:numRef>
              <c:f>'tab 3'!$B$7:$B$18</c:f>
              <c:numCache>
                <c:formatCode>#,##0</c:formatCode>
                <c:ptCount val="12"/>
                <c:pt idx="0">
                  <c:v>2110</c:v>
                </c:pt>
                <c:pt idx="1">
                  <c:v>3202</c:v>
                </c:pt>
                <c:pt idx="2">
                  <c:v>3527</c:v>
                </c:pt>
                <c:pt idx="3">
                  <c:v>2868</c:v>
                </c:pt>
                <c:pt idx="4">
                  <c:v>3040</c:v>
                </c:pt>
                <c:pt idx="5">
                  <c:v>3151</c:v>
                </c:pt>
                <c:pt idx="6">
                  <c:v>2698</c:v>
                </c:pt>
                <c:pt idx="7">
                  <c:v>1839</c:v>
                </c:pt>
                <c:pt idx="8">
                  <c:v>2277</c:v>
                </c:pt>
                <c:pt idx="9">
                  <c:v>2890</c:v>
                </c:pt>
                <c:pt idx="10">
                  <c:v>3066</c:v>
                </c:pt>
                <c:pt idx="11">
                  <c:v>2244</c:v>
                </c:pt>
              </c:numCache>
            </c:numRef>
          </c:val>
        </c:ser>
        <c:marker val="1"/>
        <c:axId val="142291328"/>
        <c:axId val="142292864"/>
      </c:lineChart>
      <c:catAx>
        <c:axId val="142291328"/>
        <c:scaling>
          <c:orientation val="minMax"/>
        </c:scaling>
        <c:axPos val="b"/>
        <c:numFmt formatCode="General" sourceLinked="1"/>
        <c:majorTickMark val="none"/>
        <c:tickLblPos val="nextTo"/>
        <c:crossAx val="142292864"/>
        <c:crosses val="autoZero"/>
        <c:auto val="1"/>
        <c:lblAlgn val="ctr"/>
        <c:lblOffset val="100"/>
      </c:catAx>
      <c:valAx>
        <c:axId val="14229286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42291328"/>
        <c:crosses val="autoZero"/>
        <c:crossBetween val="between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hr-HR"/>
              <a:t>UTROŠAK NAFTE U </a:t>
            </a:r>
            <a:r>
              <a:rPr lang="hr-HR">
                <a:solidFill>
                  <a:srgbClr val="FF0000"/>
                </a:solidFill>
              </a:rPr>
              <a:t>LITRAMA</a:t>
            </a:r>
            <a:r>
              <a:rPr lang="hr-HR" baseline="0"/>
              <a:t> </a:t>
            </a:r>
          </a:p>
          <a:p>
            <a:pPr>
              <a:defRPr/>
            </a:pPr>
            <a:r>
              <a:rPr lang="hr-HR" baseline="0"/>
              <a:t>2020./2021. GODINE</a:t>
            </a:r>
            <a:endParaRPr lang="en-GB"/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2020. godina</c:v>
          </c:tx>
          <c:val>
            <c:numRef>
              <c:f>'tab 5'!$B$7:$B$18</c:f>
              <c:numCache>
                <c:formatCode>#,##0</c:formatCode>
                <c:ptCount val="12"/>
                <c:pt idx="0">
                  <c:v>36013</c:v>
                </c:pt>
                <c:pt idx="1">
                  <c:v>24006</c:v>
                </c:pt>
                <c:pt idx="2">
                  <c:v>24005</c:v>
                </c:pt>
                <c:pt idx="3">
                  <c:v>0</c:v>
                </c:pt>
                <c:pt idx="4">
                  <c:v>12002</c:v>
                </c:pt>
                <c:pt idx="5">
                  <c:v>11999</c:v>
                </c:pt>
                <c:pt idx="6">
                  <c:v>0</c:v>
                </c:pt>
                <c:pt idx="7">
                  <c:v>0</c:v>
                </c:pt>
                <c:pt idx="8">
                  <c:v>12002</c:v>
                </c:pt>
                <c:pt idx="9">
                  <c:v>12001</c:v>
                </c:pt>
                <c:pt idx="10">
                  <c:v>12001</c:v>
                </c:pt>
                <c:pt idx="11">
                  <c:v>36006</c:v>
                </c:pt>
              </c:numCache>
            </c:numRef>
          </c:val>
        </c:ser>
        <c:ser>
          <c:idx val="1"/>
          <c:order val="1"/>
          <c:tx>
            <c:v>2021. godina</c:v>
          </c:tx>
          <c:val>
            <c:numRef>
              <c:f>'tab 5'!$D$7:$D$18</c:f>
              <c:numCache>
                <c:formatCode>#,##0</c:formatCode>
                <c:ptCount val="12"/>
                <c:pt idx="0">
                  <c:v>12000</c:v>
                </c:pt>
                <c:pt idx="1">
                  <c:v>36012</c:v>
                </c:pt>
                <c:pt idx="2">
                  <c:v>24007</c:v>
                </c:pt>
                <c:pt idx="3">
                  <c:v>24005</c:v>
                </c:pt>
                <c:pt idx="4">
                  <c:v>12002</c:v>
                </c:pt>
                <c:pt idx="5">
                  <c:v>0</c:v>
                </c:pt>
                <c:pt idx="6">
                  <c:v>12004</c:v>
                </c:pt>
                <c:pt idx="7">
                  <c:v>0</c:v>
                </c:pt>
                <c:pt idx="8">
                  <c:v>12001</c:v>
                </c:pt>
                <c:pt idx="9">
                  <c:v>12001</c:v>
                </c:pt>
                <c:pt idx="10">
                  <c:v>24000</c:v>
                </c:pt>
                <c:pt idx="11">
                  <c:v>36000</c:v>
                </c:pt>
              </c:numCache>
            </c:numRef>
          </c:val>
        </c:ser>
        <c:shape val="box"/>
        <c:axId val="142236288"/>
        <c:axId val="142262656"/>
        <c:axId val="0"/>
      </c:bar3DChart>
      <c:catAx>
        <c:axId val="142236288"/>
        <c:scaling>
          <c:orientation val="minMax"/>
        </c:scaling>
        <c:axPos val="b"/>
        <c:majorTickMark val="none"/>
        <c:tickLblPos val="nextTo"/>
        <c:crossAx val="142262656"/>
        <c:crosses val="autoZero"/>
        <c:auto val="1"/>
        <c:lblAlgn val="ctr"/>
        <c:lblOffset val="100"/>
      </c:catAx>
      <c:valAx>
        <c:axId val="1422626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LITARA</a:t>
                </a:r>
              </a:p>
            </c:rich>
          </c:tx>
        </c:title>
        <c:numFmt formatCode="#,##0" sourceLinked="1"/>
        <c:majorTickMark val="none"/>
        <c:tickLblPos val="nextTo"/>
        <c:crossAx val="1422362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1077" l="0.70000000000000062" r="0.70000000000000062" t="0.75000000000001077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NAFTE U </a:t>
            </a:r>
            <a:r>
              <a:rPr lang="en-US">
                <a:solidFill>
                  <a:srgbClr val="FF0000"/>
                </a:solidFill>
              </a:rPr>
              <a:t>KUNAMA</a:t>
            </a:r>
            <a:r>
              <a:rPr lang="en-US"/>
              <a:t>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20</a:t>
            </a:r>
            <a:r>
              <a:rPr lang="en-US"/>
              <a:t>./20</a:t>
            </a:r>
            <a:r>
              <a:rPr lang="hr-HR"/>
              <a:t>21</a:t>
            </a:r>
            <a:r>
              <a:rPr lang="en-US"/>
              <a:t>. GODINA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2020. godina</c:v>
          </c:tx>
          <c:val>
            <c:numRef>
              <c:f>'tab 5'!$C$7:$C$18</c:f>
              <c:numCache>
                <c:formatCode>#,##0.00\ [$kn-41A]</c:formatCode>
                <c:ptCount val="12"/>
                <c:pt idx="0">
                  <c:v>176644</c:v>
                </c:pt>
                <c:pt idx="1">
                  <c:v>106331.39</c:v>
                </c:pt>
                <c:pt idx="2">
                  <c:v>74400.299999999988</c:v>
                </c:pt>
                <c:pt idx="3">
                  <c:v>0</c:v>
                </c:pt>
                <c:pt idx="4">
                  <c:v>28579.759999999998</c:v>
                </c:pt>
                <c:pt idx="5">
                  <c:v>37451.89</c:v>
                </c:pt>
                <c:pt idx="6">
                  <c:v>0</c:v>
                </c:pt>
                <c:pt idx="7">
                  <c:v>0</c:v>
                </c:pt>
                <c:pt idx="8">
                  <c:v>35991</c:v>
                </c:pt>
                <c:pt idx="9">
                  <c:v>36783.06</c:v>
                </c:pt>
                <c:pt idx="10">
                  <c:v>38673.230000000003</c:v>
                </c:pt>
                <c:pt idx="11">
                  <c:v>126875.54999999999</c:v>
                </c:pt>
              </c:numCache>
            </c:numRef>
          </c:val>
        </c:ser>
        <c:ser>
          <c:idx val="1"/>
          <c:order val="1"/>
          <c:tx>
            <c:v>2021. godina</c:v>
          </c:tx>
          <c:val>
            <c:numRef>
              <c:f>'tab 5'!$E$7:$E$18</c:f>
              <c:numCache>
                <c:formatCode>#,##0.00\ [$kn-41A]</c:formatCode>
                <c:ptCount val="12"/>
                <c:pt idx="0">
                  <c:v>43590</c:v>
                </c:pt>
                <c:pt idx="1">
                  <c:v>141167.53</c:v>
                </c:pt>
                <c:pt idx="2">
                  <c:v>102629.93</c:v>
                </c:pt>
                <c:pt idx="3">
                  <c:v>101121.11</c:v>
                </c:pt>
                <c:pt idx="4">
                  <c:v>52898.83</c:v>
                </c:pt>
                <c:pt idx="5">
                  <c:v>0</c:v>
                </c:pt>
                <c:pt idx="6">
                  <c:v>57394.13</c:v>
                </c:pt>
                <c:pt idx="7">
                  <c:v>0</c:v>
                </c:pt>
                <c:pt idx="8">
                  <c:v>59239.94</c:v>
                </c:pt>
                <c:pt idx="9">
                  <c:v>70385.86</c:v>
                </c:pt>
                <c:pt idx="10">
                  <c:v>135585</c:v>
                </c:pt>
                <c:pt idx="11">
                  <c:v>191862</c:v>
                </c:pt>
              </c:numCache>
            </c:numRef>
          </c:val>
        </c:ser>
        <c:axId val="142874880"/>
        <c:axId val="142884864"/>
      </c:barChart>
      <c:catAx>
        <c:axId val="142874880"/>
        <c:scaling>
          <c:orientation val="minMax"/>
        </c:scaling>
        <c:axPos val="b"/>
        <c:majorTickMark val="none"/>
        <c:tickLblPos val="nextTo"/>
        <c:crossAx val="142884864"/>
        <c:crosses val="autoZero"/>
        <c:auto val="1"/>
        <c:lblAlgn val="ctr"/>
        <c:lblOffset val="100"/>
      </c:catAx>
      <c:valAx>
        <c:axId val="142884864"/>
        <c:scaling>
          <c:orientation val="minMax"/>
        </c:scaling>
        <c:axPos val="l"/>
        <c:majorGridlines/>
        <c:numFmt formatCode="#,##0.00\ [$kn-41A]" sourceLinked="1"/>
        <c:majorTickMark val="none"/>
        <c:tickLblPos val="nextTo"/>
        <c:crossAx val="1428748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12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</a:t>
            </a:r>
            <a:r>
              <a:rPr lang="hr-HR"/>
              <a:t>ELEKTRIČNE ENERGIJE </a:t>
            </a:r>
            <a:r>
              <a:rPr lang="en-US"/>
              <a:t>U </a:t>
            </a:r>
            <a:r>
              <a:rPr lang="hr-HR">
                <a:solidFill>
                  <a:srgbClr val="FF0000"/>
                </a:solidFill>
              </a:rPr>
              <a:t>kWh</a:t>
            </a:r>
          </a:p>
          <a:p>
            <a:pPr>
              <a:defRPr/>
            </a:pPr>
            <a:r>
              <a:rPr lang="en-US"/>
              <a:t> 20</a:t>
            </a:r>
            <a:r>
              <a:rPr lang="hr-HR"/>
              <a:t>20</a:t>
            </a:r>
            <a:r>
              <a:rPr lang="en-US"/>
              <a:t>.</a:t>
            </a:r>
            <a:r>
              <a:rPr lang="hr-HR"/>
              <a:t>/</a:t>
            </a:r>
            <a:r>
              <a:rPr lang="en-US"/>
              <a:t>20</a:t>
            </a:r>
            <a:r>
              <a:rPr lang="hr-HR"/>
              <a:t>21</a:t>
            </a:r>
            <a:r>
              <a:rPr lang="en-US"/>
              <a:t>. GODIN</a:t>
            </a:r>
            <a:r>
              <a:rPr lang="hr-HR"/>
              <a:t>E</a:t>
            </a:r>
            <a:endParaRPr lang="en-US"/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2020. GODINA</c:v>
          </c:tx>
          <c:val>
            <c:numRef>
              <c:f>'tab 6'!$B$7:$B$18</c:f>
              <c:numCache>
                <c:formatCode>#,##0</c:formatCode>
                <c:ptCount val="12"/>
                <c:pt idx="0">
                  <c:v>132855</c:v>
                </c:pt>
                <c:pt idx="1">
                  <c:v>120765</c:v>
                </c:pt>
                <c:pt idx="2">
                  <c:v>100804</c:v>
                </c:pt>
                <c:pt idx="3">
                  <c:v>48084</c:v>
                </c:pt>
                <c:pt idx="4">
                  <c:v>97467</c:v>
                </c:pt>
                <c:pt idx="5">
                  <c:v>129659</c:v>
                </c:pt>
                <c:pt idx="6">
                  <c:v>154805</c:v>
                </c:pt>
                <c:pt idx="7">
                  <c:v>150645</c:v>
                </c:pt>
                <c:pt idx="8">
                  <c:v>122408</c:v>
                </c:pt>
                <c:pt idx="9">
                  <c:v>99238</c:v>
                </c:pt>
                <c:pt idx="10">
                  <c:v>92615</c:v>
                </c:pt>
                <c:pt idx="11">
                  <c:v>88861</c:v>
                </c:pt>
              </c:numCache>
            </c:numRef>
          </c:val>
        </c:ser>
        <c:ser>
          <c:idx val="1"/>
          <c:order val="1"/>
          <c:tx>
            <c:v>2021. GODINA</c:v>
          </c:tx>
          <c:val>
            <c:numRef>
              <c:f>'tab 6'!$D$7:$D$18</c:f>
              <c:numCache>
                <c:formatCode>#,##0</c:formatCode>
                <c:ptCount val="12"/>
                <c:pt idx="0">
                  <c:v>88892</c:v>
                </c:pt>
                <c:pt idx="1">
                  <c:v>106520</c:v>
                </c:pt>
                <c:pt idx="2">
                  <c:v>117357</c:v>
                </c:pt>
                <c:pt idx="3">
                  <c:v>111199</c:v>
                </c:pt>
                <c:pt idx="4">
                  <c:v>113700</c:v>
                </c:pt>
                <c:pt idx="5">
                  <c:v>138631</c:v>
                </c:pt>
                <c:pt idx="6">
                  <c:v>158827</c:v>
                </c:pt>
                <c:pt idx="7">
                  <c:v>153588</c:v>
                </c:pt>
                <c:pt idx="8">
                  <c:v>136846</c:v>
                </c:pt>
                <c:pt idx="9">
                  <c:v>131726</c:v>
                </c:pt>
                <c:pt idx="10">
                  <c:v>123040</c:v>
                </c:pt>
                <c:pt idx="11">
                  <c:v>114977</c:v>
                </c:pt>
              </c:numCache>
            </c:numRef>
          </c:val>
        </c:ser>
        <c:shape val="box"/>
        <c:axId val="142931072"/>
        <c:axId val="142932608"/>
        <c:axId val="0"/>
      </c:bar3DChart>
      <c:catAx>
        <c:axId val="142931072"/>
        <c:scaling>
          <c:orientation val="minMax"/>
        </c:scaling>
        <c:axPos val="b"/>
        <c:majorTickMark val="none"/>
        <c:tickLblPos val="nextTo"/>
        <c:crossAx val="142932608"/>
        <c:crosses val="autoZero"/>
        <c:auto val="1"/>
        <c:lblAlgn val="ctr"/>
        <c:lblOffset val="100"/>
      </c:catAx>
      <c:valAx>
        <c:axId val="142932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i="1"/>
                </a:pPr>
                <a:r>
                  <a:rPr lang="en-US" i="1"/>
                  <a:t>kWh</a:t>
                </a:r>
              </a:p>
            </c:rich>
          </c:tx>
          <c:layout/>
        </c:title>
        <c:numFmt formatCode="#,##0" sourceLinked="1"/>
        <c:majorTickMark val="none"/>
        <c:tickLblPos val="nextTo"/>
        <c:crossAx val="142931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4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</a:t>
            </a:r>
            <a:r>
              <a:rPr lang="hr-HR"/>
              <a:t>ELEKTRIČNE ENERGIJE </a:t>
            </a:r>
            <a:r>
              <a:rPr lang="en-US"/>
              <a:t>U </a:t>
            </a:r>
            <a:r>
              <a:rPr lang="en-US">
                <a:solidFill>
                  <a:srgbClr val="FF0000"/>
                </a:solidFill>
              </a:rPr>
              <a:t>KUNAMA</a:t>
            </a:r>
            <a:r>
              <a:rPr lang="en-US"/>
              <a:t>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20</a:t>
            </a:r>
            <a:r>
              <a:rPr lang="en-US"/>
              <a:t>./20</a:t>
            </a:r>
            <a:r>
              <a:rPr lang="hr-HR"/>
              <a:t>21</a:t>
            </a:r>
            <a:r>
              <a:rPr lang="en-US"/>
              <a:t>. GODINA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2020. GODINA</c:v>
          </c:tx>
          <c:val>
            <c:numRef>
              <c:f>'tab 6'!$C$7:$C$18</c:f>
              <c:numCache>
                <c:formatCode>#,##0.00\ [$kn-41A]</c:formatCode>
                <c:ptCount val="12"/>
                <c:pt idx="0">
                  <c:v>117377.64</c:v>
                </c:pt>
                <c:pt idx="1">
                  <c:v>108260.78</c:v>
                </c:pt>
                <c:pt idx="2">
                  <c:v>90653.89</c:v>
                </c:pt>
                <c:pt idx="3">
                  <c:v>42979.229999999996</c:v>
                </c:pt>
                <c:pt idx="4">
                  <c:v>85233.25</c:v>
                </c:pt>
                <c:pt idx="5">
                  <c:v>116565.56</c:v>
                </c:pt>
                <c:pt idx="6">
                  <c:v>137175.96999999997</c:v>
                </c:pt>
                <c:pt idx="7">
                  <c:v>133427.96</c:v>
                </c:pt>
                <c:pt idx="8">
                  <c:v>109585.59</c:v>
                </c:pt>
                <c:pt idx="9">
                  <c:v>88817.27</c:v>
                </c:pt>
                <c:pt idx="10">
                  <c:v>84089.95</c:v>
                </c:pt>
                <c:pt idx="11">
                  <c:v>80709.850000000006</c:v>
                </c:pt>
              </c:numCache>
            </c:numRef>
          </c:val>
        </c:ser>
        <c:ser>
          <c:idx val="1"/>
          <c:order val="1"/>
          <c:tx>
            <c:v>2021. GODINA</c:v>
          </c:tx>
          <c:val>
            <c:numRef>
              <c:f>'tab 6'!$E$7:$E$18</c:f>
              <c:numCache>
                <c:formatCode>#,##0.00\ [$kn-41A]</c:formatCode>
                <c:ptCount val="12"/>
                <c:pt idx="0">
                  <c:v>80815.97</c:v>
                </c:pt>
                <c:pt idx="1">
                  <c:v>96548.61</c:v>
                </c:pt>
                <c:pt idx="2">
                  <c:v>105896.77</c:v>
                </c:pt>
                <c:pt idx="3">
                  <c:v>99025.52</c:v>
                </c:pt>
                <c:pt idx="4">
                  <c:v>100807.02999999998</c:v>
                </c:pt>
                <c:pt idx="5">
                  <c:v>124448.45</c:v>
                </c:pt>
                <c:pt idx="6">
                  <c:v>141199.24000000002</c:v>
                </c:pt>
                <c:pt idx="7">
                  <c:v>135953.31</c:v>
                </c:pt>
                <c:pt idx="8">
                  <c:v>121955.08</c:v>
                </c:pt>
                <c:pt idx="9">
                  <c:v>115892.31999999999</c:v>
                </c:pt>
                <c:pt idx="10">
                  <c:v>111043.11</c:v>
                </c:pt>
                <c:pt idx="11">
                  <c:v>103846.04</c:v>
                </c:pt>
              </c:numCache>
            </c:numRef>
          </c:val>
        </c:ser>
        <c:axId val="142983936"/>
        <c:axId val="142985472"/>
      </c:barChart>
      <c:catAx>
        <c:axId val="142983936"/>
        <c:scaling>
          <c:orientation val="minMax"/>
        </c:scaling>
        <c:axPos val="b"/>
        <c:majorTickMark val="none"/>
        <c:tickLblPos val="nextTo"/>
        <c:crossAx val="142985472"/>
        <c:crosses val="autoZero"/>
        <c:auto val="1"/>
        <c:lblAlgn val="ctr"/>
        <c:lblOffset val="100"/>
      </c:catAx>
      <c:valAx>
        <c:axId val="142985472"/>
        <c:scaling>
          <c:orientation val="minMax"/>
        </c:scaling>
        <c:axPos val="l"/>
        <c:majorGridlines/>
        <c:numFmt formatCode="#,##0.00\ [$kn-41A]" sourceLinked="1"/>
        <c:majorTickMark val="none"/>
        <c:tickLblPos val="nextTo"/>
        <c:crossAx val="14298393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7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</a:t>
            </a:r>
            <a:r>
              <a:rPr lang="hr-HR"/>
              <a:t> VODE U </a:t>
            </a:r>
            <a:r>
              <a:rPr lang="hr-HR">
                <a:solidFill>
                  <a:srgbClr val="FF0000"/>
                </a:solidFill>
              </a:rPr>
              <a:t>m3</a:t>
            </a:r>
            <a:r>
              <a:rPr lang="hr-HR"/>
              <a:t> </a:t>
            </a:r>
            <a:r>
              <a:rPr lang="en-US"/>
              <a:t>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20</a:t>
            </a:r>
            <a:r>
              <a:rPr lang="en-US"/>
              <a:t>.</a:t>
            </a:r>
            <a:r>
              <a:rPr lang="hr-HR"/>
              <a:t>/</a:t>
            </a:r>
            <a:r>
              <a:rPr lang="en-US"/>
              <a:t>20</a:t>
            </a:r>
            <a:r>
              <a:rPr lang="hr-HR"/>
              <a:t>21</a:t>
            </a:r>
            <a:r>
              <a:rPr lang="en-US"/>
              <a:t>. GODINA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2020. GODINA</c:v>
          </c:tx>
          <c:val>
            <c:numRef>
              <c:f>'tab 7'!$B$7:$B$18</c:f>
              <c:numCache>
                <c:formatCode>#,##0</c:formatCode>
                <c:ptCount val="12"/>
                <c:pt idx="0">
                  <c:v>1407</c:v>
                </c:pt>
                <c:pt idx="1">
                  <c:v>1507</c:v>
                </c:pt>
                <c:pt idx="2">
                  <c:v>1707</c:v>
                </c:pt>
                <c:pt idx="3">
                  <c:v>530</c:v>
                </c:pt>
                <c:pt idx="4">
                  <c:v>589</c:v>
                </c:pt>
                <c:pt idx="5">
                  <c:v>1493</c:v>
                </c:pt>
                <c:pt idx="6">
                  <c:v>1223</c:v>
                </c:pt>
                <c:pt idx="7">
                  <c:v>1438</c:v>
                </c:pt>
                <c:pt idx="8">
                  <c:v>1430</c:v>
                </c:pt>
                <c:pt idx="9">
                  <c:v>1158</c:v>
                </c:pt>
                <c:pt idx="10">
                  <c:v>1297</c:v>
                </c:pt>
                <c:pt idx="11">
                  <c:v>919</c:v>
                </c:pt>
              </c:numCache>
            </c:numRef>
          </c:val>
        </c:ser>
        <c:ser>
          <c:idx val="1"/>
          <c:order val="1"/>
          <c:tx>
            <c:v>2021. GODINA</c:v>
          </c:tx>
          <c:val>
            <c:numRef>
              <c:f>'tab 7'!$D$7:$D$18</c:f>
              <c:numCache>
                <c:formatCode>#,##0</c:formatCode>
                <c:ptCount val="12"/>
                <c:pt idx="0">
                  <c:v>539</c:v>
                </c:pt>
                <c:pt idx="1">
                  <c:v>913</c:v>
                </c:pt>
                <c:pt idx="2">
                  <c:v>1730</c:v>
                </c:pt>
                <c:pt idx="3">
                  <c:v>1259</c:v>
                </c:pt>
                <c:pt idx="4">
                  <c:v>1313</c:v>
                </c:pt>
                <c:pt idx="5">
                  <c:v>1380</c:v>
                </c:pt>
                <c:pt idx="6">
                  <c:v>1551</c:v>
                </c:pt>
                <c:pt idx="7">
                  <c:v>1503</c:v>
                </c:pt>
                <c:pt idx="8">
                  <c:v>1426</c:v>
                </c:pt>
                <c:pt idx="9">
                  <c:v>1321</c:v>
                </c:pt>
                <c:pt idx="10">
                  <c:v>1215</c:v>
                </c:pt>
                <c:pt idx="11">
                  <c:v>1200</c:v>
                </c:pt>
              </c:numCache>
            </c:numRef>
          </c:val>
        </c:ser>
        <c:shape val="box"/>
        <c:axId val="143039872"/>
        <c:axId val="143070336"/>
        <c:axId val="0"/>
      </c:bar3DChart>
      <c:catAx>
        <c:axId val="143039872"/>
        <c:scaling>
          <c:orientation val="minMax"/>
        </c:scaling>
        <c:axPos val="b"/>
        <c:majorTickMark val="none"/>
        <c:tickLblPos val="nextTo"/>
        <c:crossAx val="143070336"/>
        <c:crosses val="autoZero"/>
        <c:auto val="1"/>
        <c:lblAlgn val="ctr"/>
        <c:lblOffset val="100"/>
      </c:catAx>
      <c:valAx>
        <c:axId val="1430703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i="1"/>
                </a:pPr>
                <a:r>
                  <a:rPr lang="en-US" i="1"/>
                  <a:t>m3</a:t>
                </a:r>
              </a:p>
            </c:rich>
          </c:tx>
        </c:title>
        <c:numFmt formatCode="#,##0" sourceLinked="1"/>
        <c:majorTickMark val="none"/>
        <c:tickLblPos val="nextTo"/>
        <c:crossAx val="1430398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7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</a:t>
            </a:r>
            <a:r>
              <a:rPr lang="hr-HR"/>
              <a:t> VODE </a:t>
            </a:r>
            <a:r>
              <a:rPr lang="en-US"/>
              <a:t>U </a:t>
            </a:r>
            <a:r>
              <a:rPr lang="en-US">
                <a:solidFill>
                  <a:srgbClr val="FF0000"/>
                </a:solidFill>
              </a:rPr>
              <a:t>KUNAMA</a:t>
            </a:r>
            <a:r>
              <a:rPr lang="en-US"/>
              <a:t>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20</a:t>
            </a:r>
            <a:r>
              <a:rPr lang="en-US"/>
              <a:t>./20</a:t>
            </a:r>
            <a:r>
              <a:rPr lang="hr-HR"/>
              <a:t>21</a:t>
            </a:r>
            <a:r>
              <a:rPr lang="en-US"/>
              <a:t>. GODINA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v>2020. GODINA</c:v>
          </c:tx>
          <c:val>
            <c:numRef>
              <c:f>'tab 7'!$C$7:$C$18</c:f>
              <c:numCache>
                <c:formatCode>#,##0.00\ [$kn-41A]</c:formatCode>
                <c:ptCount val="12"/>
                <c:pt idx="0">
                  <c:v>41811.54</c:v>
                </c:pt>
                <c:pt idx="1">
                  <c:v>45543.99</c:v>
                </c:pt>
                <c:pt idx="2">
                  <c:v>50172.1</c:v>
                </c:pt>
                <c:pt idx="3">
                  <c:v>20849.099999999999</c:v>
                </c:pt>
                <c:pt idx="4">
                  <c:v>22429.620000000003</c:v>
                </c:pt>
                <c:pt idx="5">
                  <c:v>44814.740000000005</c:v>
                </c:pt>
                <c:pt idx="6">
                  <c:v>38155.009999999995</c:v>
                </c:pt>
                <c:pt idx="7">
                  <c:v>43824.53</c:v>
                </c:pt>
                <c:pt idx="8">
                  <c:v>43254.71</c:v>
                </c:pt>
                <c:pt idx="9">
                  <c:v>36528.699999999997</c:v>
                </c:pt>
                <c:pt idx="10">
                  <c:v>40346.080000000002</c:v>
                </c:pt>
                <c:pt idx="11">
                  <c:v>30613.46</c:v>
                </c:pt>
              </c:numCache>
            </c:numRef>
          </c:val>
        </c:ser>
        <c:ser>
          <c:idx val="1"/>
          <c:order val="1"/>
          <c:tx>
            <c:v>2021. GODINA</c:v>
          </c:tx>
          <c:val>
            <c:numRef>
              <c:f>'tab 7'!$E$7:$E$18</c:f>
              <c:numCache>
                <c:formatCode>#,##0.00\ [$kn-41A]</c:formatCode>
                <c:ptCount val="12"/>
                <c:pt idx="0">
                  <c:v>21202</c:v>
                </c:pt>
                <c:pt idx="1">
                  <c:v>30879.58</c:v>
                </c:pt>
                <c:pt idx="2">
                  <c:v>50768.82</c:v>
                </c:pt>
                <c:pt idx="3">
                  <c:v>39068.71</c:v>
                </c:pt>
                <c:pt idx="4">
                  <c:v>41650.659999999996</c:v>
                </c:pt>
                <c:pt idx="5">
                  <c:v>43554.25</c:v>
                </c:pt>
                <c:pt idx="6">
                  <c:v>47339.18</c:v>
                </c:pt>
                <c:pt idx="7">
                  <c:v>46817.54</c:v>
                </c:pt>
                <c:pt idx="8">
                  <c:v>45086.61</c:v>
                </c:pt>
                <c:pt idx="9">
                  <c:v>42088.32</c:v>
                </c:pt>
                <c:pt idx="10">
                  <c:v>39147.07</c:v>
                </c:pt>
                <c:pt idx="11">
                  <c:v>39827.630000000005</c:v>
                </c:pt>
              </c:numCache>
            </c:numRef>
          </c:val>
        </c:ser>
        <c:axId val="143113216"/>
        <c:axId val="143127296"/>
      </c:barChart>
      <c:catAx>
        <c:axId val="143113216"/>
        <c:scaling>
          <c:orientation val="minMax"/>
        </c:scaling>
        <c:axPos val="b"/>
        <c:majorTickMark val="none"/>
        <c:tickLblPos val="nextTo"/>
        <c:crossAx val="143127296"/>
        <c:crosses val="autoZero"/>
        <c:auto val="1"/>
        <c:lblAlgn val="ctr"/>
        <c:lblOffset val="100"/>
      </c:catAx>
      <c:valAx>
        <c:axId val="143127296"/>
        <c:scaling>
          <c:orientation val="minMax"/>
        </c:scaling>
        <c:axPos val="l"/>
        <c:majorGridlines/>
        <c:numFmt formatCode="#,##0.00\ [$kn-41A]" sourceLinked="1"/>
        <c:majorTickMark val="none"/>
        <c:tickLblPos val="nextTo"/>
        <c:crossAx val="14311321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8"/>
  <c:chart>
    <c:title>
      <c:tx>
        <c:rich>
          <a:bodyPr/>
          <a:lstStyle/>
          <a:p>
            <a:pPr>
              <a:defRPr/>
            </a:pPr>
            <a:r>
              <a:rPr lang="hr-HR"/>
              <a:t>UTROŠAK</a:t>
            </a:r>
            <a:r>
              <a:rPr lang="en-US"/>
              <a:t> </a:t>
            </a:r>
            <a:r>
              <a:rPr lang="hr-HR"/>
              <a:t>PLINA</a:t>
            </a:r>
            <a:r>
              <a:rPr lang="en-US"/>
              <a:t> U </a:t>
            </a:r>
            <a:r>
              <a:rPr lang="hr-HR">
                <a:solidFill>
                  <a:srgbClr val="FF0000"/>
                </a:solidFill>
              </a:rPr>
              <a:t>KG</a:t>
            </a:r>
            <a:r>
              <a:rPr lang="en-US"/>
              <a:t> </a:t>
            </a:r>
            <a:endParaRPr lang="hr-HR"/>
          </a:p>
          <a:p>
            <a:pPr>
              <a:defRPr/>
            </a:pPr>
            <a:r>
              <a:rPr lang="en-US"/>
              <a:t>20</a:t>
            </a:r>
            <a:r>
              <a:rPr lang="hr-HR"/>
              <a:t>20</a:t>
            </a:r>
            <a:r>
              <a:rPr lang="en-US"/>
              <a:t>.</a:t>
            </a:r>
            <a:r>
              <a:rPr lang="hr-HR"/>
              <a:t>/</a:t>
            </a:r>
            <a:r>
              <a:rPr lang="en-US"/>
              <a:t>20</a:t>
            </a:r>
            <a:r>
              <a:rPr lang="hr-HR"/>
              <a:t>21</a:t>
            </a:r>
            <a:r>
              <a:rPr lang="en-US"/>
              <a:t>. GODINA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2020. GODINA</c:v>
          </c:tx>
          <c:val>
            <c:numRef>
              <c:f>'tab 8'!$B$7:$B$18</c:f>
              <c:numCache>
                <c:formatCode>#,##0</c:formatCode>
                <c:ptCount val="12"/>
                <c:pt idx="0">
                  <c:v>1900</c:v>
                </c:pt>
                <c:pt idx="1">
                  <c:v>1503</c:v>
                </c:pt>
                <c:pt idx="2">
                  <c:v>0</c:v>
                </c:pt>
                <c:pt idx="3">
                  <c:v>0</c:v>
                </c:pt>
                <c:pt idx="4">
                  <c:v>1525</c:v>
                </c:pt>
                <c:pt idx="5">
                  <c:v>0</c:v>
                </c:pt>
                <c:pt idx="6">
                  <c:v>1802</c:v>
                </c:pt>
                <c:pt idx="7">
                  <c:v>0</c:v>
                </c:pt>
                <c:pt idx="8">
                  <c:v>0</c:v>
                </c:pt>
                <c:pt idx="9">
                  <c:v>1800</c:v>
                </c:pt>
                <c:pt idx="10">
                  <c:v>1758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v>2021. GODINA</c:v>
          </c:tx>
          <c:val>
            <c:numRef>
              <c:f>'tab 8'!$D$7:$D$18</c:f>
              <c:numCache>
                <c:formatCode>#,##0</c:formatCode>
                <c:ptCount val="12"/>
                <c:pt idx="0">
                  <c:v>0</c:v>
                </c:pt>
                <c:pt idx="1">
                  <c:v>1502</c:v>
                </c:pt>
                <c:pt idx="2">
                  <c:v>0</c:v>
                </c:pt>
                <c:pt idx="3">
                  <c:v>1301</c:v>
                </c:pt>
                <c:pt idx="4">
                  <c:v>1600</c:v>
                </c:pt>
                <c:pt idx="5">
                  <c:v>0</c:v>
                </c:pt>
                <c:pt idx="6">
                  <c:v>1600</c:v>
                </c:pt>
                <c:pt idx="7">
                  <c:v>0</c:v>
                </c:pt>
                <c:pt idx="8">
                  <c:v>1602</c:v>
                </c:pt>
                <c:pt idx="9">
                  <c:v>1600</c:v>
                </c:pt>
                <c:pt idx="10">
                  <c:v>0</c:v>
                </c:pt>
                <c:pt idx="11">
                  <c:v>2000</c:v>
                </c:pt>
              </c:numCache>
            </c:numRef>
          </c:val>
        </c:ser>
        <c:shape val="box"/>
        <c:axId val="143173504"/>
        <c:axId val="143175040"/>
        <c:axId val="0"/>
      </c:bar3DChart>
      <c:catAx>
        <c:axId val="143173504"/>
        <c:scaling>
          <c:orientation val="minMax"/>
        </c:scaling>
        <c:axPos val="b"/>
        <c:majorTickMark val="none"/>
        <c:tickLblPos val="nextTo"/>
        <c:crossAx val="143175040"/>
        <c:crosses val="autoZero"/>
        <c:auto val="1"/>
        <c:lblAlgn val="ctr"/>
        <c:lblOffset val="100"/>
      </c:catAx>
      <c:valAx>
        <c:axId val="1431750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i="1"/>
                </a:pPr>
                <a:r>
                  <a:rPr lang="en-US" i="1"/>
                  <a:t>KILOGRAMA</a:t>
                </a:r>
              </a:p>
            </c:rich>
          </c:tx>
        </c:title>
        <c:numFmt formatCode="#,##0" sourceLinked="1"/>
        <c:majorTickMark val="none"/>
        <c:tickLblPos val="nextTo"/>
        <c:crossAx val="14317350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27</xdr:row>
      <xdr:rowOff>0</xdr:rowOff>
    </xdr:from>
    <xdr:ext cx="184731" cy="264560"/>
    <xdr:sp macro="" textlink="">
      <xdr:nvSpPr>
        <xdr:cNvPr id="2" name="TekstniOkvir 1"/>
        <xdr:cNvSpPr txBox="1"/>
      </xdr:nvSpPr>
      <xdr:spPr>
        <a:xfrm>
          <a:off x="93249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371475</xdr:colOff>
      <xdr:row>27</xdr:row>
      <xdr:rowOff>38100</xdr:rowOff>
    </xdr:from>
    <xdr:ext cx="184731" cy="264560"/>
    <xdr:sp macro="" textlink="">
      <xdr:nvSpPr>
        <xdr:cNvPr id="3" name="TekstniOkvir 2"/>
        <xdr:cNvSpPr txBox="1"/>
      </xdr:nvSpPr>
      <xdr:spPr>
        <a:xfrm>
          <a:off x="64674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371475</xdr:colOff>
      <xdr:row>32</xdr:row>
      <xdr:rowOff>38100</xdr:rowOff>
    </xdr:from>
    <xdr:ext cx="184731" cy="264560"/>
    <xdr:sp macro="" textlink="">
      <xdr:nvSpPr>
        <xdr:cNvPr id="4" name="TekstniOkvir 3"/>
        <xdr:cNvSpPr txBox="1"/>
      </xdr:nvSpPr>
      <xdr:spPr>
        <a:xfrm>
          <a:off x="64674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21</xdr:col>
      <xdr:colOff>371475</xdr:colOff>
      <xdr:row>0</xdr:row>
      <xdr:rowOff>38100</xdr:rowOff>
    </xdr:from>
    <xdr:ext cx="184731" cy="264560"/>
    <xdr:sp macro="" textlink="">
      <xdr:nvSpPr>
        <xdr:cNvPr id="5" name="TekstniOkvir 4"/>
        <xdr:cNvSpPr txBox="1"/>
      </xdr:nvSpPr>
      <xdr:spPr>
        <a:xfrm>
          <a:off x="19592925" y="3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21</xdr:col>
      <xdr:colOff>371475</xdr:colOff>
      <xdr:row>0</xdr:row>
      <xdr:rowOff>38100</xdr:rowOff>
    </xdr:from>
    <xdr:ext cx="184731" cy="264560"/>
    <xdr:sp macro="" textlink="">
      <xdr:nvSpPr>
        <xdr:cNvPr id="6" name="TekstniOkvir 5"/>
        <xdr:cNvSpPr txBox="1"/>
      </xdr:nvSpPr>
      <xdr:spPr>
        <a:xfrm>
          <a:off x="19592925" y="3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3</xdr:col>
      <xdr:colOff>552450</xdr:colOff>
      <xdr:row>27</xdr:row>
      <xdr:rowOff>0</xdr:rowOff>
    </xdr:from>
    <xdr:ext cx="184731" cy="264560"/>
    <xdr:sp macro="" textlink="">
      <xdr:nvSpPr>
        <xdr:cNvPr id="7" name="TekstniOkvir 6"/>
        <xdr:cNvSpPr txBox="1"/>
      </xdr:nvSpPr>
      <xdr:spPr>
        <a:xfrm>
          <a:off x="34194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552450</xdr:colOff>
      <xdr:row>27</xdr:row>
      <xdr:rowOff>0</xdr:rowOff>
    </xdr:from>
    <xdr:ext cx="184731" cy="264560"/>
    <xdr:sp macro="" textlink="">
      <xdr:nvSpPr>
        <xdr:cNvPr id="8" name="TekstniOkvir 7"/>
        <xdr:cNvSpPr txBox="1"/>
      </xdr:nvSpPr>
      <xdr:spPr>
        <a:xfrm>
          <a:off x="130492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10</xdr:col>
      <xdr:colOff>552450</xdr:colOff>
      <xdr:row>28</xdr:row>
      <xdr:rowOff>0</xdr:rowOff>
    </xdr:from>
    <xdr:ext cx="184731" cy="264560"/>
    <xdr:sp macro="" textlink="">
      <xdr:nvSpPr>
        <xdr:cNvPr id="9" name="TekstniOkvir 8"/>
        <xdr:cNvSpPr txBox="1"/>
      </xdr:nvSpPr>
      <xdr:spPr>
        <a:xfrm>
          <a:off x="93249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34</xdr:row>
      <xdr:rowOff>19050</xdr:rowOff>
    </xdr:from>
    <xdr:to>
      <xdr:col>12</xdr:col>
      <xdr:colOff>714375</xdr:colOff>
      <xdr:row>65</xdr:row>
      <xdr:rowOff>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171450</xdr:rowOff>
    </xdr:from>
    <xdr:to>
      <xdr:col>5</xdr:col>
      <xdr:colOff>161926</xdr:colOff>
      <xdr:row>50</xdr:row>
      <xdr:rowOff>85725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55</xdr:row>
      <xdr:rowOff>47624</xdr:rowOff>
    </xdr:from>
    <xdr:to>
      <xdr:col>6</xdr:col>
      <xdr:colOff>590550</xdr:colOff>
      <xdr:row>80</xdr:row>
      <xdr:rowOff>57149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84</xdr:row>
      <xdr:rowOff>123825</xdr:rowOff>
    </xdr:from>
    <xdr:to>
      <xdr:col>6</xdr:col>
      <xdr:colOff>733425</xdr:colOff>
      <xdr:row>112</xdr:row>
      <xdr:rowOff>142874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266701</xdr:colOff>
      <xdr:row>53</xdr:row>
      <xdr:rowOff>38099</xdr:rowOff>
    </xdr:from>
    <xdr:to>
      <xdr:col>6</xdr:col>
      <xdr:colOff>657226</xdr:colOff>
      <xdr:row>81</xdr:row>
      <xdr:rowOff>171450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84</xdr:row>
      <xdr:rowOff>85726</xdr:rowOff>
    </xdr:from>
    <xdr:to>
      <xdr:col>6</xdr:col>
      <xdr:colOff>619125</xdr:colOff>
      <xdr:row>113</xdr:row>
      <xdr:rowOff>180975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53</xdr:row>
      <xdr:rowOff>114301</xdr:rowOff>
    </xdr:from>
    <xdr:to>
      <xdr:col>6</xdr:col>
      <xdr:colOff>619125</xdr:colOff>
      <xdr:row>79</xdr:row>
      <xdr:rowOff>171450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533400</xdr:colOff>
      <xdr:row>85</xdr:row>
      <xdr:rowOff>66675</xdr:rowOff>
    </xdr:from>
    <xdr:to>
      <xdr:col>6</xdr:col>
      <xdr:colOff>723900</xdr:colOff>
      <xdr:row>113</xdr:row>
      <xdr:rowOff>76200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53</xdr:row>
      <xdr:rowOff>133350</xdr:rowOff>
    </xdr:from>
    <xdr:to>
      <xdr:col>6</xdr:col>
      <xdr:colOff>733425</xdr:colOff>
      <xdr:row>80</xdr:row>
      <xdr:rowOff>123825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85</xdr:row>
      <xdr:rowOff>57150</xdr:rowOff>
    </xdr:from>
    <xdr:to>
      <xdr:col>6</xdr:col>
      <xdr:colOff>704850</xdr:colOff>
      <xdr:row>113</xdr:row>
      <xdr:rowOff>9524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24</xdr:row>
      <xdr:rowOff>85726</xdr:rowOff>
    </xdr:from>
    <xdr:to>
      <xdr:col>9</xdr:col>
      <xdr:colOff>228600</xdr:colOff>
      <xdr:row>50</xdr:row>
      <xdr:rowOff>19050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samsa/Documents/ENERGENTI/2021/ENERGENTI%202020-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ODA - UKUPNO"/>
      <sheetName val="VODA - WELLNESS I OSTALI OBJEKT"/>
      <sheetName val="ELEKTRIČNA ENERGIJA"/>
      <sheetName val="PLIN"/>
      <sheetName val="NAFTA"/>
      <sheetName val="svi energenti 20-21"/>
      <sheetName val="svi energenti 19-20"/>
    </sheetNames>
    <sheetDataSet>
      <sheetData sheetId="0" refreshError="1"/>
      <sheetData sheetId="1">
        <row r="9">
          <cell r="F9">
            <v>1407</v>
          </cell>
          <cell r="G9">
            <v>41811.54</v>
          </cell>
          <cell r="L9">
            <v>539</v>
          </cell>
          <cell r="M9">
            <v>21202</v>
          </cell>
        </row>
        <row r="10">
          <cell r="F10">
            <v>1507</v>
          </cell>
          <cell r="G10">
            <v>45543.99</v>
          </cell>
          <cell r="L10">
            <v>913</v>
          </cell>
          <cell r="M10">
            <v>30879.58</v>
          </cell>
        </row>
        <row r="11">
          <cell r="F11">
            <v>1707</v>
          </cell>
          <cell r="G11">
            <v>50172.1</v>
          </cell>
          <cell r="L11">
            <v>1730</v>
          </cell>
          <cell r="M11">
            <v>50768.82</v>
          </cell>
        </row>
        <row r="12">
          <cell r="F12">
            <v>530</v>
          </cell>
          <cell r="G12">
            <v>20849.099999999999</v>
          </cell>
          <cell r="L12">
            <v>1259</v>
          </cell>
          <cell r="M12">
            <v>39068.71</v>
          </cell>
        </row>
        <row r="13">
          <cell r="F13">
            <v>589</v>
          </cell>
          <cell r="G13">
            <v>22429.620000000003</v>
          </cell>
          <cell r="L13">
            <v>1313</v>
          </cell>
          <cell r="M13">
            <v>41650.659999999996</v>
          </cell>
        </row>
        <row r="14">
          <cell r="F14">
            <v>1493</v>
          </cell>
          <cell r="G14">
            <v>44814.740000000005</v>
          </cell>
          <cell r="L14">
            <v>1380</v>
          </cell>
          <cell r="M14">
            <v>43554.25</v>
          </cell>
        </row>
        <row r="15">
          <cell r="F15">
            <v>1223</v>
          </cell>
          <cell r="G15">
            <v>38155.009999999995</v>
          </cell>
          <cell r="L15">
            <v>1551</v>
          </cell>
          <cell r="M15">
            <v>47339.18</v>
          </cell>
        </row>
        <row r="16">
          <cell r="F16">
            <v>1438</v>
          </cell>
          <cell r="G16">
            <v>43824.53</v>
          </cell>
          <cell r="L16">
            <v>1503</v>
          </cell>
          <cell r="M16">
            <v>46817.54</v>
          </cell>
        </row>
        <row r="17">
          <cell r="F17">
            <v>1430</v>
          </cell>
          <cell r="G17">
            <v>43254.71</v>
          </cell>
          <cell r="L17">
            <v>1426</v>
          </cell>
          <cell r="M17">
            <v>45086.61</v>
          </cell>
        </row>
        <row r="18">
          <cell r="F18">
            <v>1158</v>
          </cell>
          <cell r="G18">
            <v>36528.699999999997</v>
          </cell>
          <cell r="L18">
            <v>1321</v>
          </cell>
          <cell r="M18">
            <v>42088.32</v>
          </cell>
        </row>
        <row r="19">
          <cell r="F19">
            <v>1297</v>
          </cell>
          <cell r="G19">
            <v>40346.080000000002</v>
          </cell>
          <cell r="L19">
            <v>1215</v>
          </cell>
          <cell r="M19">
            <v>39147.07</v>
          </cell>
        </row>
        <row r="20">
          <cell r="F20">
            <v>919</v>
          </cell>
          <cell r="G20">
            <v>30613.46</v>
          </cell>
          <cell r="L20">
            <v>1200</v>
          </cell>
          <cell r="M20">
            <v>39827.630000000005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59"/>
  <sheetViews>
    <sheetView tabSelected="1" zoomScale="98" zoomScaleNormal="98" workbookViewId="0">
      <selection activeCell="I1" sqref="I1"/>
    </sheetView>
  </sheetViews>
  <sheetFormatPr defaultRowHeight="15"/>
  <cols>
    <col min="1" max="1" width="11.28515625" bestFit="1" customWidth="1"/>
    <col min="2" max="2" width="16" customWidth="1"/>
    <col min="3" max="3" width="15.7109375" customWidth="1"/>
    <col min="4" max="5" width="15.85546875" customWidth="1"/>
    <col min="6" max="6" width="16.7109375" customWidth="1"/>
    <col min="7" max="7" width="17.7109375" customWidth="1"/>
    <col min="8" max="8" width="7.7109375" style="5" bestFit="1" customWidth="1"/>
    <col min="9" max="9" width="13.42578125" bestFit="1" customWidth="1"/>
    <col min="10" max="10" width="1.28515625" customWidth="1"/>
    <col min="11" max="12" width="14.7109375" customWidth="1"/>
    <col min="13" max="13" width="10.28515625" customWidth="1"/>
    <col min="14" max="14" width="14" customWidth="1"/>
    <col min="15" max="21" width="14.7109375" customWidth="1"/>
    <col min="22" max="22" width="16.5703125" bestFit="1" customWidth="1"/>
    <col min="23" max="23" width="6.140625" customWidth="1"/>
    <col min="24" max="24" width="14.7109375" customWidth="1"/>
  </cols>
  <sheetData>
    <row r="1" spans="1:24" ht="19.5" thickBot="1">
      <c r="A1" s="1" t="s">
        <v>0</v>
      </c>
      <c r="B1" s="1"/>
      <c r="C1" s="1"/>
      <c r="D1" s="2"/>
      <c r="E1" s="1"/>
      <c r="F1" s="3" t="s">
        <v>1</v>
      </c>
      <c r="G1" s="4"/>
      <c r="I1" s="6"/>
      <c r="J1" s="6"/>
      <c r="K1" s="6"/>
      <c r="L1" s="529" t="s">
        <v>271</v>
      </c>
    </row>
    <row r="2" spans="1:24" ht="15.75" thickBot="1">
      <c r="A2" s="8" t="s">
        <v>2</v>
      </c>
      <c r="B2" s="8"/>
      <c r="C2" s="8"/>
      <c r="D2" s="9"/>
      <c r="E2" s="7"/>
      <c r="F2" s="7"/>
      <c r="G2" s="10"/>
      <c r="H2" s="11"/>
      <c r="I2" s="6"/>
      <c r="J2" s="6"/>
      <c r="K2" s="534" t="s">
        <v>3</v>
      </c>
      <c r="L2" s="535"/>
    </row>
    <row r="3" spans="1:24" ht="45.75" thickBot="1">
      <c r="A3" s="12" t="s">
        <v>4</v>
      </c>
      <c r="B3" s="13" t="s">
        <v>5</v>
      </c>
      <c r="C3" s="14" t="s">
        <v>6</v>
      </c>
      <c r="D3" s="15" t="s">
        <v>7</v>
      </c>
      <c r="E3" s="16" t="s">
        <v>8</v>
      </c>
      <c r="F3" s="17" t="s">
        <v>9</v>
      </c>
      <c r="G3" s="18" t="s">
        <v>10</v>
      </c>
      <c r="H3" s="19" t="s">
        <v>11</v>
      </c>
      <c r="I3" s="20" t="s">
        <v>12</v>
      </c>
      <c r="J3" s="21"/>
      <c r="K3" s="22" t="s">
        <v>13</v>
      </c>
      <c r="L3" s="23" t="s">
        <v>14</v>
      </c>
      <c r="N3" s="24" t="s">
        <v>15</v>
      </c>
      <c r="O3" s="25" t="s">
        <v>16</v>
      </c>
      <c r="P3" s="25" t="s">
        <v>17</v>
      </c>
      <c r="Q3" s="26" t="s">
        <v>18</v>
      </c>
      <c r="R3" s="27" t="s">
        <v>19</v>
      </c>
      <c r="S3" s="25" t="s">
        <v>20</v>
      </c>
      <c r="T3" s="27" t="s">
        <v>21</v>
      </c>
      <c r="U3" s="25" t="s">
        <v>22</v>
      </c>
      <c r="V3" s="28" t="s">
        <v>23</v>
      </c>
      <c r="W3" s="19" t="s">
        <v>11</v>
      </c>
      <c r="X3" s="29" t="s">
        <v>24</v>
      </c>
    </row>
    <row r="4" spans="1:24" ht="15" customHeight="1">
      <c r="A4" s="30" t="s">
        <v>25</v>
      </c>
      <c r="B4" s="31"/>
      <c r="C4" s="32"/>
      <c r="D4" s="33"/>
      <c r="E4" s="34"/>
      <c r="F4" s="35"/>
      <c r="G4" s="36"/>
      <c r="H4" s="37"/>
      <c r="I4" s="37"/>
      <c r="J4" s="38"/>
      <c r="K4" s="39"/>
      <c r="L4" s="40" t="s">
        <v>26</v>
      </c>
      <c r="M4" s="41"/>
      <c r="N4" s="42" t="s">
        <v>25</v>
      </c>
      <c r="O4" s="43"/>
      <c r="P4" s="43"/>
      <c r="Q4" s="44"/>
      <c r="R4" s="45"/>
      <c r="S4" s="43"/>
      <c r="T4" s="45"/>
      <c r="U4" s="43"/>
      <c r="V4" s="46"/>
      <c r="W4" s="47"/>
      <c r="X4" s="48"/>
    </row>
    <row r="5" spans="1:24" ht="15" customHeight="1">
      <c r="A5" s="49" t="s">
        <v>27</v>
      </c>
      <c r="B5" s="50"/>
      <c r="C5" s="51"/>
      <c r="D5" s="52"/>
      <c r="E5" s="53"/>
      <c r="F5" s="54"/>
      <c r="G5" s="55">
        <v>2801825.46</v>
      </c>
      <c r="H5" s="56"/>
      <c r="I5" s="56"/>
      <c r="J5" s="57"/>
      <c r="K5" s="58">
        <v>36793</v>
      </c>
      <c r="L5" s="59"/>
      <c r="M5" s="41"/>
      <c r="N5" s="49" t="s">
        <v>28</v>
      </c>
      <c r="O5" s="60">
        <v>246985.46</v>
      </c>
      <c r="P5" s="60">
        <v>321549.08</v>
      </c>
      <c r="Q5" s="61">
        <v>81905.2</v>
      </c>
      <c r="R5" s="62">
        <v>181794.29</v>
      </c>
      <c r="S5" s="60">
        <v>76110</v>
      </c>
      <c r="T5" s="62">
        <v>980.95</v>
      </c>
      <c r="U5" s="60">
        <v>190.28</v>
      </c>
      <c r="V5" s="63">
        <f>O5+P5+Q5+R5+S5+T5+U5</f>
        <v>909515.26</v>
      </c>
      <c r="W5" s="64"/>
      <c r="X5" s="65"/>
    </row>
    <row r="6" spans="1:24" ht="15" customHeight="1">
      <c r="A6" s="49" t="s">
        <v>29</v>
      </c>
      <c r="B6" s="50"/>
      <c r="C6" s="51"/>
      <c r="D6" s="52"/>
      <c r="E6" s="53"/>
      <c r="F6" s="54"/>
      <c r="G6" s="55">
        <v>2913898.48</v>
      </c>
      <c r="H6" s="56"/>
      <c r="I6" s="56"/>
      <c r="J6" s="66"/>
      <c r="K6" s="58">
        <v>36793</v>
      </c>
      <c r="L6" s="59"/>
      <c r="M6" s="41"/>
      <c r="N6" s="49" t="s">
        <v>30</v>
      </c>
      <c r="O6" s="60">
        <v>962814.68</v>
      </c>
      <c r="P6" s="60">
        <v>321549.08</v>
      </c>
      <c r="Q6" s="61">
        <v>81905.2</v>
      </c>
      <c r="R6" s="62">
        <v>181794.29</v>
      </c>
      <c r="S6" s="60">
        <v>76110</v>
      </c>
      <c r="T6" s="62">
        <v>1971.8</v>
      </c>
      <c r="U6" s="60">
        <v>3192.65</v>
      </c>
      <c r="V6" s="63">
        <f>O6+P6+Q6+R6+S6+T6+U6</f>
        <v>1629337.7</v>
      </c>
      <c r="W6" s="64"/>
      <c r="X6" s="65"/>
    </row>
    <row r="7" spans="1:24" ht="15" customHeight="1">
      <c r="A7" s="49" t="s">
        <v>31</v>
      </c>
      <c r="B7" s="50"/>
      <c r="C7" s="51"/>
      <c r="D7" s="52"/>
      <c r="E7" s="53"/>
      <c r="F7" s="54"/>
      <c r="G7" s="55"/>
      <c r="H7" s="56"/>
      <c r="I7" s="56"/>
      <c r="J7" s="66"/>
      <c r="K7" s="58">
        <v>67403</v>
      </c>
      <c r="L7" s="59"/>
      <c r="M7" s="41"/>
      <c r="N7" s="49"/>
      <c r="O7" s="60"/>
      <c r="P7" s="60"/>
      <c r="Q7" s="61"/>
      <c r="R7" s="62"/>
      <c r="S7" s="60"/>
      <c r="T7" s="62"/>
      <c r="U7" s="60"/>
      <c r="V7" s="63"/>
      <c r="W7" s="64"/>
      <c r="X7" s="65"/>
    </row>
    <row r="8" spans="1:24" ht="15" customHeight="1">
      <c r="A8" s="49" t="s">
        <v>32</v>
      </c>
      <c r="B8" s="50"/>
      <c r="C8" s="51"/>
      <c r="D8" s="52"/>
      <c r="E8" s="53"/>
      <c r="F8" s="54"/>
      <c r="G8" s="55"/>
      <c r="H8" s="56"/>
      <c r="I8" s="56"/>
      <c r="J8" s="66"/>
      <c r="K8" s="58">
        <v>46997</v>
      </c>
      <c r="L8" s="59"/>
      <c r="M8" s="41"/>
      <c r="N8" s="49"/>
      <c r="O8" s="60"/>
      <c r="P8" s="60"/>
      <c r="Q8" s="61"/>
      <c r="R8" s="62"/>
      <c r="S8" s="60"/>
      <c r="T8" s="62"/>
      <c r="U8" s="60"/>
      <c r="V8" s="63"/>
      <c r="W8" s="64"/>
      <c r="X8" s="65"/>
    </row>
    <row r="9" spans="1:24" ht="15" customHeight="1" thickBot="1">
      <c r="A9" s="67" t="s">
        <v>33</v>
      </c>
      <c r="B9" s="68"/>
      <c r="C9" s="69"/>
      <c r="D9" s="70"/>
      <c r="E9" s="71"/>
      <c r="F9" s="72"/>
      <c r="G9" s="73"/>
      <c r="H9" s="74"/>
      <c r="I9" s="74"/>
      <c r="J9" s="75"/>
      <c r="K9" s="76">
        <v>33000</v>
      </c>
      <c r="L9" s="77">
        <v>543409.79</v>
      </c>
      <c r="M9" s="41"/>
      <c r="N9" s="67"/>
      <c r="O9" s="78"/>
      <c r="P9" s="79"/>
      <c r="Q9" s="80"/>
      <c r="R9" s="81"/>
      <c r="S9" s="78"/>
      <c r="T9" s="81"/>
      <c r="U9" s="78"/>
      <c r="V9" s="79"/>
      <c r="W9" s="82"/>
      <c r="X9" s="83"/>
    </row>
    <row r="10" spans="1:24">
      <c r="A10" s="84" t="s">
        <v>34</v>
      </c>
      <c r="B10" s="85">
        <f>1301535.97-E10-V10</f>
        <v>763680.09999999986</v>
      </c>
      <c r="C10" s="86">
        <v>725437.33</v>
      </c>
      <c r="D10" s="87">
        <v>146598.15</v>
      </c>
      <c r="E10" s="88">
        <v>5630.87</v>
      </c>
      <c r="F10" s="89">
        <f>SUM(C10:E10)</f>
        <v>877666.35</v>
      </c>
      <c r="G10" s="90">
        <f>F10+B10</f>
        <v>1641346.4499999997</v>
      </c>
      <c r="H10" s="91">
        <f>G10/G5*100</f>
        <v>58.58132397726159</v>
      </c>
      <c r="I10" s="92">
        <f>G10-G5</f>
        <v>-1160479.0100000002</v>
      </c>
      <c r="J10" s="93"/>
      <c r="K10" s="94">
        <v>46767.360000000001</v>
      </c>
      <c r="L10" s="95">
        <v>36393.199999999997</v>
      </c>
      <c r="M10" s="96"/>
      <c r="N10" s="84" t="s">
        <v>34</v>
      </c>
      <c r="O10" s="97">
        <f>180447.35+46362.6+2630.31</f>
        <v>229440.26</v>
      </c>
      <c r="P10" s="98">
        <f>28858.84+2672.89+163696.41</f>
        <v>195228.14</v>
      </c>
      <c r="Q10" s="99">
        <v>45517.85</v>
      </c>
      <c r="R10" s="97">
        <v>37742.17</v>
      </c>
      <c r="S10" s="100">
        <v>22934.48</v>
      </c>
      <c r="T10" s="100">
        <v>1046.1199999999999</v>
      </c>
      <c r="U10" s="100">
        <v>315.98</v>
      </c>
      <c r="V10" s="101">
        <f>SUM(O10:U10)</f>
        <v>532225</v>
      </c>
      <c r="W10" s="102">
        <f>V10/V5*100</f>
        <v>58.517434880641808</v>
      </c>
      <c r="X10" s="103">
        <f>V10-V5</f>
        <v>-377290.26</v>
      </c>
    </row>
    <row r="11" spans="1:24" ht="15" customHeight="1">
      <c r="A11" s="104" t="s">
        <v>35</v>
      </c>
      <c r="B11" s="85">
        <f>1895517.04-E11-V11</f>
        <v>1313388.8599999999</v>
      </c>
      <c r="C11" s="105">
        <v>795112.33</v>
      </c>
      <c r="D11" s="87">
        <v>1342911.62</v>
      </c>
      <c r="E11" s="88">
        <v>7849.82</v>
      </c>
      <c r="F11" s="106">
        <f t="shared" ref="F11:F21" si="0">SUM(C11:E11)</f>
        <v>2145873.77</v>
      </c>
      <c r="G11" s="90">
        <f t="shared" ref="G11:G21" si="1">F11+B11</f>
        <v>3459262.63</v>
      </c>
      <c r="H11" s="91">
        <f>G11/G6*100</f>
        <v>118.71596260965138</v>
      </c>
      <c r="I11" s="92">
        <f>G11-G6</f>
        <v>545364.14999999991</v>
      </c>
      <c r="J11" s="93"/>
      <c r="K11" s="107">
        <v>47225.440000000002</v>
      </c>
      <c r="L11" s="108">
        <v>0</v>
      </c>
      <c r="M11" s="96"/>
      <c r="N11" s="104" t="s">
        <v>35</v>
      </c>
      <c r="O11" s="97">
        <f>172974.09+47933.91+1788.61</f>
        <v>222696.61</v>
      </c>
      <c r="P11" s="98">
        <f>18957.26+2505.8+148034.23</f>
        <v>169497.29</v>
      </c>
      <c r="Q11" s="99">
        <v>54958.58</v>
      </c>
      <c r="R11" s="97">
        <v>88706.43</v>
      </c>
      <c r="S11" s="100">
        <v>36585.75</v>
      </c>
      <c r="T11" s="100">
        <v>1591.74</v>
      </c>
      <c r="U11" s="100">
        <v>241.96</v>
      </c>
      <c r="V11" s="101">
        <f t="shared" ref="V11:V21" si="2">SUM(O11:U11)</f>
        <v>574278.36</v>
      </c>
      <c r="W11" s="102">
        <f>V11/V5*100</f>
        <v>63.141146196931317</v>
      </c>
      <c r="X11" s="103">
        <f>V11-V5</f>
        <v>-335236.90000000002</v>
      </c>
    </row>
    <row r="12" spans="1:24">
      <c r="A12" s="104" t="s">
        <v>36</v>
      </c>
      <c r="B12" s="85">
        <f>2265631.35-E12-V12</f>
        <v>1425981.9600000004</v>
      </c>
      <c r="C12" s="105">
        <v>1138471.19</v>
      </c>
      <c r="D12" s="87">
        <v>1373646.79</v>
      </c>
      <c r="E12" s="88">
        <v>22153.8</v>
      </c>
      <c r="F12" s="106">
        <f t="shared" si="0"/>
        <v>2534271.7799999998</v>
      </c>
      <c r="G12" s="90">
        <f t="shared" si="1"/>
        <v>3960253.74</v>
      </c>
      <c r="H12" s="91">
        <f>G12/G6*100</f>
        <v>135.90911856338937</v>
      </c>
      <c r="I12" s="92">
        <f>G12-G6</f>
        <v>1046355.2600000002</v>
      </c>
      <c r="J12" s="93"/>
      <c r="K12" s="94">
        <v>25445.01</v>
      </c>
      <c r="L12" s="108">
        <v>150420</v>
      </c>
      <c r="M12" s="96"/>
      <c r="N12" s="104" t="s">
        <v>36</v>
      </c>
      <c r="O12" s="97">
        <f>268174.13+68642.67+5699</f>
        <v>342515.8</v>
      </c>
      <c r="P12" s="98">
        <f>33183.47+2779.77+263251.38</f>
        <v>299214.62</v>
      </c>
      <c r="Q12" s="99">
        <v>66046.06</v>
      </c>
      <c r="R12" s="97">
        <v>73493.66</v>
      </c>
      <c r="S12" s="100">
        <v>34880.97</v>
      </c>
      <c r="T12" s="100">
        <v>829.39</v>
      </c>
      <c r="U12" s="100">
        <v>515.09</v>
      </c>
      <c r="V12" s="101">
        <f t="shared" si="2"/>
        <v>817495.59</v>
      </c>
      <c r="W12" s="102">
        <f>V12/V5*100</f>
        <v>89.88255897982404</v>
      </c>
      <c r="X12" s="103">
        <f>V12-V5</f>
        <v>-92019.670000000042</v>
      </c>
    </row>
    <row r="13" spans="1:24">
      <c r="A13" s="109" t="s">
        <v>37</v>
      </c>
      <c r="B13" s="85">
        <f>1723271.83-E13-V13</f>
        <v>1028102.5900000001</v>
      </c>
      <c r="C13" s="110">
        <f>817829.29+573337.47</f>
        <v>1391166.76</v>
      </c>
      <c r="D13" s="111">
        <v>1063699.75</v>
      </c>
      <c r="E13" s="88">
        <v>22642.83</v>
      </c>
      <c r="F13" s="106">
        <f t="shared" si="0"/>
        <v>2477509.34</v>
      </c>
      <c r="G13" s="90">
        <f t="shared" si="1"/>
        <v>3505611.9299999997</v>
      </c>
      <c r="H13" s="91">
        <f>G13/G6*100</f>
        <v>120.30659112049777</v>
      </c>
      <c r="I13" s="92">
        <f>G13-G6</f>
        <v>591713.44999999972</v>
      </c>
      <c r="J13" s="93"/>
      <c r="K13" s="94">
        <v>29121.360000000001</v>
      </c>
      <c r="L13" s="112">
        <v>87162.9</v>
      </c>
      <c r="M13" s="96"/>
      <c r="N13" s="109" t="s">
        <v>37</v>
      </c>
      <c r="O13" s="97">
        <f>243238.35+60941.27+5926.96</f>
        <v>310106.58</v>
      </c>
      <c r="P13" s="98">
        <f>27276.47+1737.35+187632.32</f>
        <v>216646.14</v>
      </c>
      <c r="Q13" s="99">
        <v>63235.34</v>
      </c>
      <c r="R13" s="97">
        <v>49306.16</v>
      </c>
      <c r="S13" s="100">
        <v>31662</v>
      </c>
      <c r="T13" s="100">
        <v>992.62</v>
      </c>
      <c r="U13" s="100">
        <v>577.57000000000005</v>
      </c>
      <c r="V13" s="101">
        <f t="shared" si="2"/>
        <v>672526.40999999992</v>
      </c>
      <c r="W13" s="102">
        <f>V13/V5*100</f>
        <v>73.943389361053704</v>
      </c>
      <c r="X13" s="113">
        <f>V13-V5</f>
        <v>-236988.85000000009</v>
      </c>
    </row>
    <row r="14" spans="1:24">
      <c r="A14" s="109" t="s">
        <v>38</v>
      </c>
      <c r="B14" s="114">
        <f>1964167.32-E14-V14</f>
        <v>1182484.6299999999</v>
      </c>
      <c r="C14" s="110">
        <v>1251606.5900000001</v>
      </c>
      <c r="D14" s="111">
        <v>761408.22</v>
      </c>
      <c r="E14" s="88">
        <v>11629.78</v>
      </c>
      <c r="F14" s="106">
        <f t="shared" si="0"/>
        <v>2024644.59</v>
      </c>
      <c r="G14" s="115">
        <f t="shared" si="1"/>
        <v>3207129.2199999997</v>
      </c>
      <c r="H14" s="91">
        <f>G14/G6*100</f>
        <v>110.0631762572593</v>
      </c>
      <c r="I14" s="92">
        <f>G14-G6</f>
        <v>293230.73999999976</v>
      </c>
      <c r="J14" s="93"/>
      <c r="K14" s="94">
        <v>23667.47</v>
      </c>
      <c r="L14" s="108">
        <v>0</v>
      </c>
      <c r="M14" s="96"/>
      <c r="N14" s="109" t="s">
        <v>38</v>
      </c>
      <c r="O14" s="97">
        <f>257169.62+67638.12+1823.68</f>
        <v>326631.42</v>
      </c>
      <c r="P14" s="98">
        <f>28058.28+781.81+244245.52</f>
        <v>273085.61</v>
      </c>
      <c r="Q14" s="99">
        <v>64797.61</v>
      </c>
      <c r="R14" s="97">
        <v>68993.11</v>
      </c>
      <c r="S14" s="100">
        <v>35566.980000000003</v>
      </c>
      <c r="T14" s="100">
        <v>634.54</v>
      </c>
      <c r="U14" s="100">
        <v>343.64</v>
      </c>
      <c r="V14" s="101">
        <f t="shared" si="2"/>
        <v>770052.91</v>
      </c>
      <c r="W14" s="102">
        <f>V14/V5*100</f>
        <v>84.666299056928423</v>
      </c>
      <c r="X14" s="113">
        <f>V14-V5</f>
        <v>-139462.34999999998</v>
      </c>
    </row>
    <row r="15" spans="1:24">
      <c r="A15" s="116" t="s">
        <v>39</v>
      </c>
      <c r="B15" s="117">
        <f>1764664.51-E15-V15</f>
        <v>1088749.31</v>
      </c>
      <c r="C15" s="118">
        <v>660898.34</v>
      </c>
      <c r="D15" s="111">
        <v>1329078.6100000001</v>
      </c>
      <c r="E15" s="119">
        <v>71.790000000000006</v>
      </c>
      <c r="F15" s="106">
        <f t="shared" si="0"/>
        <v>1990048.7400000002</v>
      </c>
      <c r="G15" s="115">
        <f>F15+B15</f>
        <v>3078798.0500000003</v>
      </c>
      <c r="H15" s="91">
        <f>G15/G6*100</f>
        <v>105.65907052465329</v>
      </c>
      <c r="I15" s="92">
        <f>G15-G6</f>
        <v>164899.5700000003</v>
      </c>
      <c r="J15" s="93"/>
      <c r="K15" s="94">
        <v>0</v>
      </c>
      <c r="L15" s="108">
        <v>10401.25</v>
      </c>
      <c r="M15" s="96"/>
      <c r="N15" s="116" t="s">
        <v>39</v>
      </c>
      <c r="O15" s="97">
        <f>231207.53+53909.58+8206.56</f>
        <v>293323.67</v>
      </c>
      <c r="P15" s="98">
        <f>25669.41+3995.91+207851.32</f>
        <v>237516.64</v>
      </c>
      <c r="Q15" s="99">
        <v>63112.88</v>
      </c>
      <c r="R15" s="97">
        <v>41293.78</v>
      </c>
      <c r="S15" s="100">
        <v>39155.339999999997</v>
      </c>
      <c r="T15" s="100">
        <v>992.62</v>
      </c>
      <c r="U15" s="100">
        <v>448.48</v>
      </c>
      <c r="V15" s="101">
        <f t="shared" si="2"/>
        <v>675843.41</v>
      </c>
      <c r="W15" s="102">
        <f>V15/V5*100</f>
        <v>74.308089124310015</v>
      </c>
      <c r="X15" s="113">
        <f>V15-V5</f>
        <v>-233671.84999999998</v>
      </c>
    </row>
    <row r="16" spans="1:24">
      <c r="A16" s="116" t="s">
        <v>40</v>
      </c>
      <c r="B16" s="117">
        <f>1714571.88-E16-V16</f>
        <v>995178.64999999979</v>
      </c>
      <c r="C16" s="118">
        <v>783773.63</v>
      </c>
      <c r="D16" s="111">
        <v>1206076.73</v>
      </c>
      <c r="E16" s="119">
        <v>96.95</v>
      </c>
      <c r="F16" s="106">
        <f t="shared" si="0"/>
        <v>1989947.3099999998</v>
      </c>
      <c r="G16" s="115">
        <f>F16+B16</f>
        <v>2985125.9599999995</v>
      </c>
      <c r="H16" s="91">
        <f>G16/G6*100</f>
        <v>102.44440499519392</v>
      </c>
      <c r="I16" s="92">
        <f>G16-G6</f>
        <v>71227.479999999516</v>
      </c>
      <c r="J16" s="93"/>
      <c r="K16" s="94">
        <v>0</v>
      </c>
      <c r="L16" s="108">
        <v>64808.75</v>
      </c>
      <c r="N16" s="116" t="s">
        <v>40</v>
      </c>
      <c r="O16" s="97">
        <f>259697.39+76344.05+1823.68</f>
        <v>337865.12</v>
      </c>
      <c r="P16" s="98">
        <f>28579.48+5298.92+221600.24</f>
        <v>255478.63999999998</v>
      </c>
      <c r="Q16" s="99">
        <v>50011.3</v>
      </c>
      <c r="R16" s="97">
        <v>46629.52</v>
      </c>
      <c r="S16" s="100">
        <v>27862.560000000001</v>
      </c>
      <c r="T16" s="100">
        <v>1174.23</v>
      </c>
      <c r="U16" s="100">
        <v>274.91000000000003</v>
      </c>
      <c r="V16" s="101">
        <f t="shared" si="2"/>
        <v>719296.28000000014</v>
      </c>
      <c r="W16" s="102">
        <f>V16/V5*100</f>
        <v>79.085674714242842</v>
      </c>
      <c r="X16" s="113">
        <f>V16-V5</f>
        <v>-190218.97999999986</v>
      </c>
    </row>
    <row r="17" spans="1:24">
      <c r="A17" s="116" t="s">
        <v>41</v>
      </c>
      <c r="B17" s="117">
        <f>1213635.14-E17-V17</f>
        <v>726813.22999999986</v>
      </c>
      <c r="C17" s="118">
        <v>610818.62</v>
      </c>
      <c r="D17" s="120">
        <v>762903.69</v>
      </c>
      <c r="E17" s="121">
        <v>116.58</v>
      </c>
      <c r="F17" s="106">
        <f t="shared" si="0"/>
        <v>1373838.8900000001</v>
      </c>
      <c r="G17" s="115">
        <f t="shared" si="1"/>
        <v>2100652.12</v>
      </c>
      <c r="H17" s="91">
        <f>G17/G6*100</f>
        <v>72.090779223029074</v>
      </c>
      <c r="I17" s="92">
        <f>G17-G6</f>
        <v>-813246.35999999987</v>
      </c>
      <c r="J17" s="93"/>
      <c r="K17" s="94">
        <v>0</v>
      </c>
      <c r="L17" s="108">
        <v>77679.240000000005</v>
      </c>
      <c r="N17" s="116" t="s">
        <v>41</v>
      </c>
      <c r="O17" s="122">
        <f>124679.06+43194.66+2735.52</f>
        <v>170609.24</v>
      </c>
      <c r="P17" s="123">
        <f>31011.77+955.55+207851.32</f>
        <v>239818.64</v>
      </c>
      <c r="Q17" s="122">
        <v>38359.870000000003</v>
      </c>
      <c r="R17" s="122">
        <v>19486.96</v>
      </c>
      <c r="S17" s="124">
        <v>17414.099999999999</v>
      </c>
      <c r="T17" s="124">
        <v>643.73</v>
      </c>
      <c r="U17" s="124">
        <v>372.79</v>
      </c>
      <c r="V17" s="101">
        <f t="shared" si="2"/>
        <v>486705.32999999996</v>
      </c>
      <c r="W17" s="102">
        <f>V17/V5*100</f>
        <v>53.512607364058951</v>
      </c>
      <c r="X17" s="113">
        <f>V17-V5</f>
        <v>-422809.93000000005</v>
      </c>
    </row>
    <row r="18" spans="1:24">
      <c r="A18" s="116" t="s">
        <v>42</v>
      </c>
      <c r="B18" s="117">
        <f>1866712.09-E18-V18</f>
        <v>1175507.5</v>
      </c>
      <c r="C18" s="118">
        <v>921501.16</v>
      </c>
      <c r="D18" s="111">
        <v>675718.42</v>
      </c>
      <c r="E18" s="119">
        <v>138.78</v>
      </c>
      <c r="F18" s="106">
        <f t="shared" si="0"/>
        <v>1597358.36</v>
      </c>
      <c r="G18" s="115">
        <f t="shared" si="1"/>
        <v>2772865.8600000003</v>
      </c>
      <c r="H18" s="91">
        <f>G18/G6*100</f>
        <v>95.160002279832355</v>
      </c>
      <c r="I18" s="92">
        <f>G18-G6</f>
        <v>-141032.61999999965</v>
      </c>
      <c r="J18" s="93"/>
      <c r="K18" s="94">
        <v>0</v>
      </c>
      <c r="L18" s="108">
        <v>32755.4</v>
      </c>
      <c r="N18" s="116" t="s">
        <v>42</v>
      </c>
      <c r="O18" s="122">
        <f>254793.97+68307.84+3647.36</f>
        <v>326749.17</v>
      </c>
      <c r="P18" s="123">
        <f>33748.12+2866.63+164987.04</f>
        <v>201601.79</v>
      </c>
      <c r="Q18" s="122">
        <v>64525.15</v>
      </c>
      <c r="R18" s="122">
        <v>53863.91</v>
      </c>
      <c r="S18" s="125">
        <v>42268.77</v>
      </c>
      <c r="T18" s="125">
        <v>1586.35</v>
      </c>
      <c r="U18" s="125">
        <v>470.67</v>
      </c>
      <c r="V18" s="101">
        <f t="shared" si="2"/>
        <v>691065.81</v>
      </c>
      <c r="W18" s="102">
        <f>V18/V5*100</f>
        <v>75.981771872634667</v>
      </c>
      <c r="X18" s="113">
        <f>V18-V5</f>
        <v>-218449.44999999995</v>
      </c>
    </row>
    <row r="19" spans="1:24">
      <c r="A19" s="116" t="s">
        <v>43</v>
      </c>
      <c r="B19" s="117">
        <f>2032316.58-E19-V19</f>
        <v>1286107.4600000002</v>
      </c>
      <c r="C19" s="126">
        <v>883079.36</v>
      </c>
      <c r="D19" s="120">
        <v>973649.46</v>
      </c>
      <c r="E19" s="119">
        <v>9891.2999999999993</v>
      </c>
      <c r="F19" s="106">
        <f>SUM(C19:E19)</f>
        <v>1866620.1199999999</v>
      </c>
      <c r="G19" s="115">
        <f>F19+B19</f>
        <v>3152727.58</v>
      </c>
      <c r="H19" s="91">
        <f>G19/G6*100</f>
        <v>108.19620524322453</v>
      </c>
      <c r="I19" s="92">
        <f>G19-G6</f>
        <v>238829.10000000009</v>
      </c>
      <c r="J19" s="93"/>
      <c r="K19" s="94">
        <v>0</v>
      </c>
      <c r="L19" s="108">
        <v>79370.5</v>
      </c>
      <c r="N19" s="116" t="s">
        <v>43</v>
      </c>
      <c r="O19" s="122">
        <f>254147.85+53909.25+1823.67</f>
        <v>309880.76999999996</v>
      </c>
      <c r="P19" s="123">
        <f>30577.41+2519.16+197741.82</f>
        <v>230838.39</v>
      </c>
      <c r="Q19" s="122">
        <v>63875.11</v>
      </c>
      <c r="R19" s="127">
        <v>74885.58</v>
      </c>
      <c r="S19" s="124">
        <v>54880.800000000003</v>
      </c>
      <c r="T19" s="124">
        <v>1731.2</v>
      </c>
      <c r="U19" s="124">
        <v>225.97</v>
      </c>
      <c r="V19" s="101">
        <f t="shared" si="2"/>
        <v>736317.81999999983</v>
      </c>
      <c r="W19" s="102">
        <f>V19/V5*100</f>
        <v>80.957170526198738</v>
      </c>
      <c r="X19" s="113">
        <f>V19-V5</f>
        <v>-173197.44000000018</v>
      </c>
    </row>
    <row r="20" spans="1:24">
      <c r="A20" s="116" t="s">
        <v>44</v>
      </c>
      <c r="B20" s="117">
        <f>1879515.35-E20-V20</f>
        <v>1187079.7200000002</v>
      </c>
      <c r="C20" s="118">
        <v>806286.51</v>
      </c>
      <c r="D20" s="111">
        <v>1215557.1599999999</v>
      </c>
      <c r="E20" s="119">
        <v>9491.17</v>
      </c>
      <c r="F20" s="106">
        <f t="shared" si="0"/>
        <v>2031334.8399999999</v>
      </c>
      <c r="G20" s="115">
        <f t="shared" si="1"/>
        <v>3218414.56</v>
      </c>
      <c r="H20" s="91">
        <f>G20/G6*100</f>
        <v>110.45046977751949</v>
      </c>
      <c r="I20" s="92">
        <f>G20-G6</f>
        <v>304516.08000000007</v>
      </c>
      <c r="J20" s="128"/>
      <c r="K20" s="94">
        <v>0</v>
      </c>
      <c r="L20" s="108">
        <v>46006.25</v>
      </c>
      <c r="N20" s="116" t="s">
        <v>44</v>
      </c>
      <c r="O20" s="122">
        <f>242744.21+51230.86+2051.64</f>
        <v>296026.71000000002</v>
      </c>
      <c r="P20" s="123">
        <f>32271.37+1911.09+187632.32</f>
        <v>221814.78</v>
      </c>
      <c r="Q20" s="122">
        <v>59817.66</v>
      </c>
      <c r="R20" s="127">
        <v>60316.77</v>
      </c>
      <c r="S20" s="124">
        <v>43113.09</v>
      </c>
      <c r="T20" s="124">
        <v>1463.93</v>
      </c>
      <c r="U20" s="124">
        <v>391.52</v>
      </c>
      <c r="V20" s="101">
        <f t="shared" si="2"/>
        <v>682944.46000000008</v>
      </c>
      <c r="W20" s="102">
        <f>V20/V6*100</f>
        <v>41.915464179095594</v>
      </c>
      <c r="X20" s="113">
        <f>V20-V6</f>
        <v>-946393.23999999987</v>
      </c>
    </row>
    <row r="21" spans="1:24" ht="15.75" thickBot="1">
      <c r="A21" s="129" t="s">
        <v>45</v>
      </c>
      <c r="B21" s="117">
        <f>1648091.22-E21-V21</f>
        <v>931550.13</v>
      </c>
      <c r="C21" s="130">
        <v>203618.25</v>
      </c>
      <c r="D21" s="131">
        <v>944236.69</v>
      </c>
      <c r="E21" s="131">
        <v>611.29</v>
      </c>
      <c r="F21" s="132">
        <f t="shared" si="0"/>
        <v>1148466.23</v>
      </c>
      <c r="G21" s="133">
        <f t="shared" si="1"/>
        <v>2080016.3599999999</v>
      </c>
      <c r="H21" s="91">
        <f>G21/G6*100</f>
        <v>71.382595319518472</v>
      </c>
      <c r="I21" s="92">
        <f>G21-G6</f>
        <v>-833882.12000000011</v>
      </c>
      <c r="J21" s="128"/>
      <c r="K21" s="134">
        <v>0</v>
      </c>
      <c r="L21" s="135">
        <v>-11952.9</v>
      </c>
      <c r="N21" s="129" t="s">
        <v>45</v>
      </c>
      <c r="O21" s="136">
        <f>213170.93+75339.55+2735.52</f>
        <v>291246</v>
      </c>
      <c r="P21" s="137">
        <f>33574.37+4169.65+225644.04</f>
        <v>263388.06</v>
      </c>
      <c r="Q21" s="136">
        <v>65032.12</v>
      </c>
      <c r="R21" s="138">
        <v>57761.31</v>
      </c>
      <c r="S21" s="139">
        <v>37677.78</v>
      </c>
      <c r="T21" s="140">
        <v>588.59</v>
      </c>
      <c r="U21" s="140">
        <v>235.94</v>
      </c>
      <c r="V21" s="101">
        <f t="shared" si="2"/>
        <v>715929.79999999993</v>
      </c>
      <c r="W21" s="102">
        <f>V21/V6*100</f>
        <v>43.939927247739988</v>
      </c>
      <c r="X21" s="113">
        <f>V21-V6</f>
        <v>-913407.9</v>
      </c>
    </row>
    <row r="22" spans="1:24" ht="15.75" thickBot="1">
      <c r="A22" s="141" t="s">
        <v>23</v>
      </c>
      <c r="B22" s="142">
        <f t="shared" ref="B22:G22" si="3">SUM(B10:B21)</f>
        <v>13104624.140000001</v>
      </c>
      <c r="C22" s="143">
        <f t="shared" si="3"/>
        <v>10171770.069999998</v>
      </c>
      <c r="D22" s="143">
        <f t="shared" si="3"/>
        <v>11795485.290000001</v>
      </c>
      <c r="E22" s="144">
        <f t="shared" si="3"/>
        <v>90324.959999999992</v>
      </c>
      <c r="F22" s="145">
        <f t="shared" si="3"/>
        <v>22057580.320000004</v>
      </c>
      <c r="G22" s="146">
        <f t="shared" si="3"/>
        <v>35162204.460000001</v>
      </c>
      <c r="H22" s="147">
        <f>G22/G24*100</f>
        <v>100.88222145906821</v>
      </c>
      <c r="I22" s="148">
        <f>SUM(I10:I21)</f>
        <v>307495.71999999974</v>
      </c>
      <c r="J22" s="93"/>
      <c r="K22" s="143">
        <f>SUM(K10:K21)</f>
        <v>172226.63999999998</v>
      </c>
      <c r="L22" s="149">
        <f>SUM(L10:L21)</f>
        <v>573044.59</v>
      </c>
      <c r="N22" s="141" t="s">
        <v>23</v>
      </c>
      <c r="O22" s="150">
        <f>SUM(O10:O21)</f>
        <v>3457091.35</v>
      </c>
      <c r="P22" s="151">
        <f t="shared" ref="P22:U22" si="4">SUM(P10:P21)</f>
        <v>2804128.7399999998</v>
      </c>
      <c r="Q22" s="150">
        <f t="shared" si="4"/>
        <v>699289.53</v>
      </c>
      <c r="R22" s="150">
        <f t="shared" si="4"/>
        <v>672479.3600000001</v>
      </c>
      <c r="S22" s="150">
        <f t="shared" si="4"/>
        <v>424002.62</v>
      </c>
      <c r="T22" s="150">
        <f t="shared" si="4"/>
        <v>13275.060000000001</v>
      </c>
      <c r="U22" s="150">
        <f t="shared" si="4"/>
        <v>4414.5199999999995</v>
      </c>
      <c r="V22" s="152">
        <f>SUM(V10:V21)</f>
        <v>8074681.1799999997</v>
      </c>
      <c r="W22" s="153">
        <f>V22/V24*100</f>
        <v>65.361774342333405</v>
      </c>
      <c r="X22" s="154">
        <f>SUM(X10:X21)</f>
        <v>-4279146.82</v>
      </c>
    </row>
    <row r="23" spans="1:24" ht="4.5" customHeight="1" thickBot="1">
      <c r="A23" s="155"/>
      <c r="B23" s="156"/>
      <c r="C23" s="156"/>
      <c r="D23" s="156"/>
      <c r="E23" s="157"/>
      <c r="F23" s="158"/>
      <c r="G23" s="159"/>
      <c r="H23" s="160"/>
      <c r="I23" s="161"/>
      <c r="J23" s="93"/>
      <c r="K23" s="162"/>
      <c r="L23" s="163"/>
      <c r="N23" s="164"/>
      <c r="O23" s="165"/>
      <c r="P23" s="165"/>
      <c r="Q23" s="165"/>
      <c r="R23" s="165"/>
      <c r="S23" s="166"/>
      <c r="T23" s="166"/>
      <c r="U23" s="166"/>
      <c r="V23" s="167"/>
      <c r="W23" s="168"/>
      <c r="X23" s="169"/>
    </row>
    <row r="24" spans="1:24" ht="27" thickBot="1">
      <c r="A24" s="170" t="s">
        <v>46</v>
      </c>
      <c r="B24" s="171"/>
      <c r="C24" s="172"/>
      <c r="D24" s="173"/>
      <c r="E24" s="174"/>
      <c r="F24" s="175"/>
      <c r="G24" s="176">
        <f>G5 +(G6*11)</f>
        <v>34854708.740000002</v>
      </c>
      <c r="H24" s="177"/>
      <c r="I24" s="178"/>
      <c r="J24" s="93"/>
      <c r="K24" s="179">
        <f>K5+K6+K7+(K8*3)+(K9*6)</f>
        <v>479980</v>
      </c>
      <c r="L24" s="180">
        <f>L9</f>
        <v>543409.79</v>
      </c>
      <c r="N24" s="181" t="s">
        <v>47</v>
      </c>
      <c r="O24" s="182">
        <f>(O5*10)+(O6*2)</f>
        <v>4395483.96</v>
      </c>
      <c r="P24" s="182">
        <f t="shared" ref="P24:S24" si="5">P5*12</f>
        <v>3858588.96</v>
      </c>
      <c r="Q24" s="182">
        <f t="shared" si="5"/>
        <v>982862.39999999991</v>
      </c>
      <c r="R24" s="182">
        <f t="shared" si="5"/>
        <v>2181531.48</v>
      </c>
      <c r="S24" s="182">
        <f t="shared" si="5"/>
        <v>913320</v>
      </c>
      <c r="T24" s="182">
        <f>(T5*10)+(T6*2)</f>
        <v>13753.1</v>
      </c>
      <c r="U24" s="182">
        <f>(U5*10)+(U6*2)</f>
        <v>8288.1</v>
      </c>
      <c r="V24" s="183">
        <f>(V5*10)+(V6*2)</f>
        <v>12353828</v>
      </c>
      <c r="W24" s="184"/>
      <c r="X24" s="185"/>
    </row>
    <row r="25" spans="1:24" ht="16.5" thickBot="1">
      <c r="A25" s="186" t="s">
        <v>48</v>
      </c>
      <c r="B25" s="187"/>
      <c r="C25" s="188"/>
      <c r="D25" s="189"/>
      <c r="E25" s="190"/>
      <c r="F25" s="191"/>
      <c r="G25" s="192">
        <f>G22-G24</f>
        <v>307495.71999999881</v>
      </c>
      <c r="H25" s="193"/>
      <c r="I25" s="194"/>
      <c r="J25" s="195"/>
      <c r="K25" s="196">
        <f>K22-K24</f>
        <v>-307753.36</v>
      </c>
      <c r="L25" s="196">
        <f>L22-L24</f>
        <v>29634.79999999993</v>
      </c>
      <c r="N25" s="186" t="s">
        <v>49</v>
      </c>
      <c r="O25" s="197">
        <f>O22-O24</f>
        <v>-938392.60999999987</v>
      </c>
      <c r="P25" s="197">
        <f t="shared" ref="P25:V25" si="6">P22-P24</f>
        <v>-1054460.2200000002</v>
      </c>
      <c r="Q25" s="197">
        <f t="shared" si="6"/>
        <v>-283572.86999999988</v>
      </c>
      <c r="R25" s="197">
        <f t="shared" si="6"/>
        <v>-1509052.1199999999</v>
      </c>
      <c r="S25" s="197">
        <f t="shared" si="6"/>
        <v>-489317.38</v>
      </c>
      <c r="T25" s="197">
        <f t="shared" si="6"/>
        <v>-478.03999999999905</v>
      </c>
      <c r="U25" s="197">
        <f t="shared" si="6"/>
        <v>-3873.5800000000008</v>
      </c>
      <c r="V25" s="198">
        <f t="shared" si="6"/>
        <v>-4279146.82</v>
      </c>
      <c r="W25" s="199"/>
      <c r="X25" s="200"/>
    </row>
    <row r="26" spans="1:24" ht="16.5" thickBot="1">
      <c r="A26" s="201" t="s">
        <v>50</v>
      </c>
      <c r="B26" s="202"/>
      <c r="C26" s="202"/>
      <c r="D26" s="203"/>
      <c r="E26" s="204">
        <v>2926693.73</v>
      </c>
      <c r="F26" s="202"/>
      <c r="G26" s="205">
        <f>G25-E26</f>
        <v>-2619198.0100000012</v>
      </c>
      <c r="H26" s="206"/>
      <c r="I26" s="93"/>
      <c r="J26" s="93"/>
      <c r="K26" s="207"/>
      <c r="L26" s="207"/>
      <c r="N26" s="208"/>
      <c r="O26" s="209"/>
      <c r="P26" s="209"/>
      <c r="Q26" s="209"/>
      <c r="R26" s="209"/>
      <c r="S26" s="209"/>
      <c r="T26" s="209"/>
      <c r="U26" s="209"/>
      <c r="V26" s="210"/>
      <c r="W26" s="211"/>
      <c r="X26" s="212"/>
    </row>
    <row r="27" spans="1:24" ht="5.25" customHeight="1" thickBot="1">
      <c r="A27" s="208"/>
      <c r="B27" s="213"/>
      <c r="C27" s="213"/>
      <c r="D27" s="213"/>
      <c r="E27" s="214"/>
      <c r="F27" s="213"/>
      <c r="G27" s="215"/>
      <c r="H27" s="216"/>
      <c r="I27" s="217"/>
      <c r="J27" s="217"/>
      <c r="K27" s="218"/>
      <c r="L27" s="7"/>
      <c r="V27" s="219"/>
    </row>
    <row r="28" spans="1:24" ht="15.75" hidden="1" thickBot="1">
      <c r="A28" s="220" t="s">
        <v>51</v>
      </c>
      <c r="B28" s="221"/>
      <c r="C28" s="221"/>
      <c r="D28" s="221"/>
      <c r="E28" s="221"/>
      <c r="F28" s="221"/>
      <c r="G28" s="222"/>
      <c r="H28" s="223"/>
      <c r="I28" s="224"/>
      <c r="J28" s="224"/>
      <c r="K28" s="224"/>
      <c r="L28" s="7"/>
      <c r="V28" s="219"/>
    </row>
    <row r="29" spans="1:24" ht="15.75" hidden="1" thickBot="1">
      <c r="A29" s="225"/>
      <c r="B29" s="226">
        <v>2960391</v>
      </c>
      <c r="C29" s="226">
        <v>2242408</v>
      </c>
      <c r="D29" s="226">
        <v>2717662</v>
      </c>
      <c r="E29" s="226">
        <v>713590</v>
      </c>
      <c r="F29" s="226">
        <v>5673659</v>
      </c>
      <c r="G29" s="227">
        <v>8634050</v>
      </c>
      <c r="H29" s="223"/>
      <c r="I29" s="224"/>
      <c r="J29" s="224"/>
      <c r="K29" s="224"/>
      <c r="L29" s="7"/>
      <c r="V29" s="219"/>
    </row>
    <row r="30" spans="1:24" ht="15.75" hidden="1" thickBot="1">
      <c r="A30" s="228" t="s">
        <v>52</v>
      </c>
      <c r="B30" s="217"/>
      <c r="C30" s="217"/>
      <c r="D30" s="217"/>
      <c r="E30" s="217"/>
      <c r="F30" s="217"/>
      <c r="G30" s="229"/>
      <c r="H30" s="223"/>
      <c r="I30" s="224"/>
      <c r="J30" s="224"/>
      <c r="K30" s="224"/>
      <c r="L30" s="7"/>
      <c r="V30" s="219"/>
    </row>
    <row r="31" spans="1:24" ht="15.75" hidden="1" thickBot="1">
      <c r="A31" s="230"/>
      <c r="B31" s="231">
        <f>B29/G29</f>
        <v>0.34287396992141578</v>
      </c>
      <c r="C31" s="231">
        <f>C29/G29</f>
        <v>0.25971681887410891</v>
      </c>
      <c r="D31" s="231">
        <f>D29/G29</f>
        <v>0.31476097544026266</v>
      </c>
      <c r="E31" s="231">
        <f>E29/G29</f>
        <v>8.2648351584714008E-2</v>
      </c>
      <c r="F31" s="231">
        <f>F29/G29</f>
        <v>0.65712603007858417</v>
      </c>
      <c r="G31" s="232">
        <f>G29/G29</f>
        <v>1</v>
      </c>
      <c r="H31" s="223"/>
      <c r="I31" s="224"/>
      <c r="J31" s="224"/>
      <c r="K31" s="224"/>
      <c r="L31" s="7"/>
      <c r="V31" s="219"/>
    </row>
    <row r="32" spans="1:24" ht="15.75" hidden="1" thickBot="1">
      <c r="A32" s="224"/>
      <c r="B32" s="224"/>
      <c r="C32" s="224"/>
      <c r="D32" s="224"/>
      <c r="E32" s="224"/>
      <c r="F32" s="224"/>
      <c r="G32" s="224"/>
      <c r="H32" s="223"/>
      <c r="I32" s="224"/>
      <c r="J32" s="224"/>
      <c r="K32" s="224"/>
      <c r="L32" s="7"/>
      <c r="V32" s="219"/>
    </row>
    <row r="33" spans="1:22" ht="15.75" hidden="1" thickBot="1">
      <c r="A33" s="220" t="s">
        <v>53</v>
      </c>
      <c r="B33" s="221"/>
      <c r="C33" s="221"/>
      <c r="D33" s="221"/>
      <c r="E33" s="221"/>
      <c r="F33" s="221"/>
      <c r="G33" s="222"/>
      <c r="H33" s="223"/>
      <c r="I33" s="224"/>
      <c r="J33" s="224"/>
      <c r="K33" s="224"/>
      <c r="L33" s="7"/>
      <c r="V33" s="219"/>
    </row>
    <row r="34" spans="1:22" ht="15.75" hidden="1" thickBot="1">
      <c r="A34" s="225"/>
      <c r="B34" s="226">
        <v>3977814</v>
      </c>
      <c r="C34" s="226">
        <v>2788748</v>
      </c>
      <c r="D34" s="226">
        <v>3611202</v>
      </c>
      <c r="E34" s="226">
        <v>976434</v>
      </c>
      <c r="F34" s="226">
        <v>7376383</v>
      </c>
      <c r="G34" s="227">
        <v>11354197</v>
      </c>
      <c r="H34" s="223"/>
      <c r="I34" s="224"/>
      <c r="J34" s="224"/>
      <c r="K34" s="224"/>
      <c r="L34" s="7"/>
      <c r="O34" s="233"/>
      <c r="V34" s="219"/>
    </row>
    <row r="35" spans="1:22" ht="15.75" hidden="1" thickBot="1">
      <c r="A35" s="228" t="s">
        <v>54</v>
      </c>
      <c r="B35" s="217"/>
      <c r="C35" s="217"/>
      <c r="D35" s="217"/>
      <c r="E35" s="217"/>
      <c r="F35" s="217"/>
      <c r="G35" s="229"/>
      <c r="H35" s="168"/>
      <c r="I35" s="234"/>
      <c r="J35" s="234"/>
      <c r="K35" s="234"/>
      <c r="L35" s="7"/>
      <c r="V35" s="219"/>
    </row>
    <row r="36" spans="1:22" ht="15.75" hidden="1" thickBot="1">
      <c r="A36" s="230"/>
      <c r="B36" s="231">
        <f>B34/G34</f>
        <v>0.35033864570079243</v>
      </c>
      <c r="C36" s="231">
        <f>C34/G34</f>
        <v>0.24561384658025573</v>
      </c>
      <c r="D36" s="231">
        <f>D34/G34</f>
        <v>0.31804996865916629</v>
      </c>
      <c r="E36" s="231">
        <f>E34/G34</f>
        <v>8.5997627132944759E-2</v>
      </c>
      <c r="F36" s="231">
        <f>F34/G34</f>
        <v>0.64966135429920757</v>
      </c>
      <c r="G36" s="232">
        <f>G34/G34</f>
        <v>1</v>
      </c>
      <c r="H36" s="168"/>
      <c r="I36" s="234"/>
      <c r="J36" s="234"/>
      <c r="K36" s="234"/>
      <c r="L36" s="7"/>
      <c r="V36" s="219"/>
    </row>
    <row r="37" spans="1:22" ht="15.75" hidden="1" thickBot="1">
      <c r="A37" s="7"/>
      <c r="B37" s="234"/>
      <c r="C37" s="234"/>
      <c r="D37" s="235"/>
      <c r="E37" s="234"/>
      <c r="F37" s="235"/>
      <c r="G37" s="234"/>
      <c r="H37" s="168"/>
      <c r="I37" s="235"/>
      <c r="J37" s="235"/>
      <c r="K37" s="234"/>
      <c r="L37" s="7"/>
      <c r="V37" s="219"/>
    </row>
    <row r="38" spans="1:22" ht="15.75" hidden="1" thickBot="1">
      <c r="A38" s="7"/>
      <c r="B38" s="234"/>
      <c r="C38" s="234"/>
      <c r="D38" s="235"/>
      <c r="E38" s="234"/>
      <c r="F38" s="235"/>
      <c r="G38" s="234"/>
      <c r="H38" s="168"/>
      <c r="I38" s="235"/>
      <c r="J38" s="235"/>
      <c r="K38" s="234"/>
      <c r="L38" s="7"/>
      <c r="V38" s="219"/>
    </row>
    <row r="39" spans="1:22" ht="15.75" thickBot="1">
      <c r="A39" s="236"/>
      <c r="B39" s="536" t="s">
        <v>55</v>
      </c>
      <c r="C39" s="537"/>
      <c r="D39" s="536" t="s">
        <v>56</v>
      </c>
      <c r="E39" s="537"/>
      <c r="F39" s="542" t="s">
        <v>57</v>
      </c>
      <c r="G39" s="237"/>
      <c r="H39" s="238"/>
      <c r="I39" s="545" t="s">
        <v>58</v>
      </c>
      <c r="J39" s="239"/>
      <c r="K39" s="548" t="s">
        <v>59</v>
      </c>
      <c r="L39" s="551" t="s">
        <v>60</v>
      </c>
      <c r="M39" s="240"/>
      <c r="N39" s="240"/>
      <c r="T39" s="241"/>
      <c r="V39" s="219"/>
    </row>
    <row r="40" spans="1:22" ht="15" customHeight="1">
      <c r="A40" s="242"/>
      <c r="B40" s="538"/>
      <c r="C40" s="539"/>
      <c r="D40" s="538"/>
      <c r="E40" s="539"/>
      <c r="F40" s="543"/>
      <c r="G40" s="243"/>
      <c r="H40" s="244"/>
      <c r="I40" s="546"/>
      <c r="J40" s="239"/>
      <c r="K40" s="549"/>
      <c r="L40" s="552"/>
      <c r="M40" s="240"/>
      <c r="N40" s="245"/>
      <c r="O40" s="246" t="s">
        <v>61</v>
      </c>
      <c r="U40" s="241"/>
      <c r="V40" s="219"/>
    </row>
    <row r="41" spans="1:22" ht="15" customHeight="1" thickBot="1">
      <c r="A41" s="247" t="s">
        <v>62</v>
      </c>
      <c r="B41" s="540"/>
      <c r="C41" s="541"/>
      <c r="D41" s="540"/>
      <c r="E41" s="541"/>
      <c r="F41" s="544"/>
      <c r="G41" s="248"/>
      <c r="H41" s="247" t="s">
        <v>62</v>
      </c>
      <c r="I41" s="547"/>
      <c r="J41" s="239"/>
      <c r="K41" s="550"/>
      <c r="L41" s="553"/>
      <c r="N41" s="247" t="s">
        <v>62</v>
      </c>
      <c r="O41" s="249" t="s">
        <v>63</v>
      </c>
      <c r="R41" s="96"/>
    </row>
    <row r="42" spans="1:22">
      <c r="A42" s="84" t="s">
        <v>34</v>
      </c>
      <c r="B42" s="554">
        <f>G5+V5</f>
        <v>3711340.7199999997</v>
      </c>
      <c r="C42" s="555"/>
      <c r="D42" s="556">
        <f t="shared" ref="D42:D53" si="7">G10+V10</f>
        <v>2173571.4499999997</v>
      </c>
      <c r="E42" s="556"/>
      <c r="F42" s="250">
        <f>D42-B42</f>
        <v>-1537769.27</v>
      </c>
      <c r="G42" s="251"/>
      <c r="H42" s="84" t="s">
        <v>34</v>
      </c>
      <c r="I42" s="252">
        <v>7265.85</v>
      </c>
      <c r="J42" s="253"/>
      <c r="K42" s="254">
        <v>2</v>
      </c>
      <c r="L42" s="255">
        <f>I42/K42</f>
        <v>3632.9250000000002</v>
      </c>
      <c r="N42" s="84" t="s">
        <v>34</v>
      </c>
      <c r="O42" s="256">
        <v>1020</v>
      </c>
      <c r="P42" s="219"/>
    </row>
    <row r="43" spans="1:22">
      <c r="A43" s="104" t="s">
        <v>35</v>
      </c>
      <c r="B43" s="554">
        <f>G6+V5</f>
        <v>3823413.74</v>
      </c>
      <c r="C43" s="555"/>
      <c r="D43" s="556">
        <f>G11+V11</f>
        <v>4033540.9899999998</v>
      </c>
      <c r="E43" s="556"/>
      <c r="F43" s="122">
        <f t="shared" ref="F43:F54" si="8">D43-B43</f>
        <v>210127.24999999953</v>
      </c>
      <c r="G43" s="251"/>
      <c r="H43" s="104" t="s">
        <v>35</v>
      </c>
      <c r="I43" s="257">
        <v>0</v>
      </c>
      <c r="J43" s="253"/>
      <c r="K43" s="258">
        <v>0</v>
      </c>
      <c r="L43" s="255">
        <v>0</v>
      </c>
      <c r="N43" s="104" t="s">
        <v>35</v>
      </c>
      <c r="O43" s="257">
        <v>5283.6</v>
      </c>
      <c r="P43" s="219"/>
    </row>
    <row r="44" spans="1:22">
      <c r="A44" s="104" t="s">
        <v>36</v>
      </c>
      <c r="B44" s="554">
        <f>G6+V5</f>
        <v>3823413.74</v>
      </c>
      <c r="C44" s="555"/>
      <c r="D44" s="556">
        <f t="shared" si="7"/>
        <v>4777749.33</v>
      </c>
      <c r="E44" s="556"/>
      <c r="F44" s="122">
        <f t="shared" si="8"/>
        <v>954335.58999999985</v>
      </c>
      <c r="G44" s="251"/>
      <c r="H44" s="104" t="s">
        <v>36</v>
      </c>
      <c r="I44" s="257">
        <v>0</v>
      </c>
      <c r="J44" s="253"/>
      <c r="K44" s="258">
        <v>0</v>
      </c>
      <c r="L44" s="255">
        <v>0</v>
      </c>
      <c r="N44" s="104" t="s">
        <v>36</v>
      </c>
      <c r="O44" s="257">
        <v>5304</v>
      </c>
      <c r="P44" s="219"/>
    </row>
    <row r="45" spans="1:22">
      <c r="A45" s="109" t="s">
        <v>37</v>
      </c>
      <c r="B45" s="557">
        <f>G6+V5</f>
        <v>3823413.74</v>
      </c>
      <c r="C45" s="558"/>
      <c r="D45" s="556">
        <f>G13+V13</f>
        <v>4178138.34</v>
      </c>
      <c r="E45" s="556"/>
      <c r="F45" s="122">
        <f t="shared" si="8"/>
        <v>354724.59999999963</v>
      </c>
      <c r="G45" s="251"/>
      <c r="H45" s="109" t="s">
        <v>37</v>
      </c>
      <c r="I45" s="257">
        <v>573337.47</v>
      </c>
      <c r="J45" s="253"/>
      <c r="K45" s="258">
        <v>86</v>
      </c>
      <c r="L45" s="255">
        <f t="shared" ref="L45:L46" si="9">I45/K45</f>
        <v>6666.7147674418602</v>
      </c>
      <c r="N45" s="109" t="s">
        <v>37</v>
      </c>
      <c r="O45" s="257">
        <v>3182.4</v>
      </c>
      <c r="P45" s="219"/>
    </row>
    <row r="46" spans="1:22">
      <c r="A46" s="109" t="s">
        <v>38</v>
      </c>
      <c r="B46" s="557">
        <f>G6+V5</f>
        <v>3823413.74</v>
      </c>
      <c r="C46" s="558"/>
      <c r="D46" s="556">
        <f t="shared" si="7"/>
        <v>3977182.13</v>
      </c>
      <c r="E46" s="556"/>
      <c r="F46" s="122">
        <f t="shared" si="8"/>
        <v>153768.38999999966</v>
      </c>
      <c r="G46" s="251"/>
      <c r="H46" s="109" t="s">
        <v>38</v>
      </c>
      <c r="I46" s="257">
        <v>290685.46999999997</v>
      </c>
      <c r="J46" s="253"/>
      <c r="K46" s="258">
        <v>46</v>
      </c>
      <c r="L46" s="255">
        <f t="shared" si="9"/>
        <v>6319.2493478260867</v>
      </c>
      <c r="N46" s="109" t="s">
        <v>38</v>
      </c>
      <c r="O46" s="257">
        <v>7425.6</v>
      </c>
      <c r="P46" s="219"/>
    </row>
    <row r="47" spans="1:22">
      <c r="A47" s="116" t="s">
        <v>39</v>
      </c>
      <c r="B47" s="557">
        <f>G6+V5</f>
        <v>3823413.74</v>
      </c>
      <c r="C47" s="558"/>
      <c r="D47" s="556">
        <f t="shared" si="7"/>
        <v>3754641.4600000004</v>
      </c>
      <c r="E47" s="556"/>
      <c r="F47" s="122">
        <f t="shared" si="8"/>
        <v>-68772.279999999795</v>
      </c>
      <c r="G47" s="251"/>
      <c r="H47" s="116" t="s">
        <v>39</v>
      </c>
      <c r="I47" s="259">
        <v>0</v>
      </c>
      <c r="J47" s="253"/>
      <c r="K47" s="258">
        <v>0</v>
      </c>
      <c r="L47" s="255">
        <v>0</v>
      </c>
      <c r="N47" s="116" t="s">
        <v>39</v>
      </c>
      <c r="O47" s="259">
        <v>4773.6000000000004</v>
      </c>
      <c r="P47" s="219"/>
    </row>
    <row r="48" spans="1:22">
      <c r="A48" s="116" t="s">
        <v>40</v>
      </c>
      <c r="B48" s="557">
        <f>G6+V5</f>
        <v>3823413.74</v>
      </c>
      <c r="C48" s="558"/>
      <c r="D48" s="556">
        <f t="shared" si="7"/>
        <v>3704422.2399999998</v>
      </c>
      <c r="E48" s="556"/>
      <c r="F48" s="122">
        <f t="shared" si="8"/>
        <v>-118991.50000000047</v>
      </c>
      <c r="G48" s="251"/>
      <c r="H48" s="116" t="s">
        <v>40</v>
      </c>
      <c r="I48" s="257">
        <v>0</v>
      </c>
      <c r="J48" s="253"/>
      <c r="K48" s="258">
        <v>0</v>
      </c>
      <c r="L48" s="255">
        <v>0</v>
      </c>
      <c r="N48" s="116" t="s">
        <v>40</v>
      </c>
      <c r="O48" s="257">
        <v>1591.2</v>
      </c>
      <c r="P48" s="219"/>
    </row>
    <row r="49" spans="1:16">
      <c r="A49" s="116" t="s">
        <v>41</v>
      </c>
      <c r="B49" s="557">
        <f>G6+V5</f>
        <v>3823413.74</v>
      </c>
      <c r="C49" s="558"/>
      <c r="D49" s="556">
        <f t="shared" si="7"/>
        <v>2587357.4500000002</v>
      </c>
      <c r="E49" s="556"/>
      <c r="F49" s="122">
        <f t="shared" si="8"/>
        <v>-1236056.29</v>
      </c>
      <c r="G49" s="251"/>
      <c r="H49" s="116" t="s">
        <v>41</v>
      </c>
      <c r="I49" s="257">
        <v>0</v>
      </c>
      <c r="J49" s="253"/>
      <c r="K49" s="258">
        <v>0</v>
      </c>
      <c r="L49" s="255">
        <v>0</v>
      </c>
      <c r="N49" s="116" t="s">
        <v>41</v>
      </c>
      <c r="O49" s="257">
        <v>2652</v>
      </c>
      <c r="P49" s="219"/>
    </row>
    <row r="50" spans="1:16">
      <c r="A50" s="116" t="s">
        <v>42</v>
      </c>
      <c r="B50" s="557">
        <f>G6+V5</f>
        <v>3823413.74</v>
      </c>
      <c r="C50" s="558"/>
      <c r="D50" s="556">
        <f t="shared" si="7"/>
        <v>3463931.6700000004</v>
      </c>
      <c r="E50" s="556"/>
      <c r="F50" s="122">
        <f t="shared" si="8"/>
        <v>-359482.06999999983</v>
      </c>
      <c r="G50" s="251"/>
      <c r="H50" s="116" t="s">
        <v>42</v>
      </c>
      <c r="I50" s="257">
        <v>0</v>
      </c>
      <c r="J50" s="253"/>
      <c r="K50" s="258">
        <v>0</v>
      </c>
      <c r="L50" s="255">
        <v>0</v>
      </c>
      <c r="N50" s="116" t="s">
        <v>42</v>
      </c>
      <c r="O50" s="257">
        <v>4773.6000000000004</v>
      </c>
      <c r="P50" s="219"/>
    </row>
    <row r="51" spans="1:16">
      <c r="A51" s="116" t="s">
        <v>43</v>
      </c>
      <c r="B51" s="557">
        <f>G6+V5</f>
        <v>3823413.74</v>
      </c>
      <c r="C51" s="558"/>
      <c r="D51" s="556">
        <f t="shared" si="7"/>
        <v>3889045.4</v>
      </c>
      <c r="E51" s="556"/>
      <c r="F51" s="122">
        <f t="shared" si="8"/>
        <v>65631.659999999683</v>
      </c>
      <c r="G51" s="251"/>
      <c r="H51" s="116" t="s">
        <v>43</v>
      </c>
      <c r="I51" s="257">
        <v>0</v>
      </c>
      <c r="J51" s="253"/>
      <c r="K51" s="258">
        <v>0</v>
      </c>
      <c r="L51" s="255">
        <v>0</v>
      </c>
      <c r="N51" s="116" t="s">
        <v>43</v>
      </c>
      <c r="O51" s="257">
        <v>6895.2</v>
      </c>
      <c r="P51" s="219"/>
    </row>
    <row r="52" spans="1:16">
      <c r="A52" s="116" t="s">
        <v>44</v>
      </c>
      <c r="B52" s="557">
        <f>G6+V6</f>
        <v>4543236.18</v>
      </c>
      <c r="C52" s="558"/>
      <c r="D52" s="556">
        <f t="shared" si="7"/>
        <v>3901359.02</v>
      </c>
      <c r="E52" s="556"/>
      <c r="F52" s="122">
        <f t="shared" si="8"/>
        <v>-641877.15999999968</v>
      </c>
      <c r="G52" s="251"/>
      <c r="H52" s="116" t="s">
        <v>44</v>
      </c>
      <c r="I52" s="257">
        <v>0</v>
      </c>
      <c r="J52" s="253"/>
      <c r="K52" s="258">
        <v>0</v>
      </c>
      <c r="L52" s="255">
        <v>0</v>
      </c>
      <c r="N52" s="116" t="s">
        <v>44</v>
      </c>
      <c r="O52" s="257">
        <v>6364.8</v>
      </c>
      <c r="P52" s="219"/>
    </row>
    <row r="53" spans="1:16" ht="15.75" thickBot="1">
      <c r="A53" s="129" t="s">
        <v>45</v>
      </c>
      <c r="B53" s="557">
        <f>G6+V6</f>
        <v>4543236.18</v>
      </c>
      <c r="C53" s="558"/>
      <c r="D53" s="563">
        <f t="shared" si="7"/>
        <v>2795946.1599999997</v>
      </c>
      <c r="E53" s="563"/>
      <c r="F53" s="97">
        <f t="shared" si="8"/>
        <v>-1747290.02</v>
      </c>
      <c r="G53" s="251"/>
      <c r="H53" s="129" t="s">
        <v>45</v>
      </c>
      <c r="I53" s="259">
        <v>0</v>
      </c>
      <c r="J53" s="253"/>
      <c r="K53" s="260">
        <v>0</v>
      </c>
      <c r="L53" s="261">
        <v>0</v>
      </c>
      <c r="N53" s="129" t="s">
        <v>45</v>
      </c>
      <c r="O53" s="257">
        <v>5304</v>
      </c>
      <c r="P53" s="219"/>
    </row>
    <row r="54" spans="1:16" ht="16.5" thickBot="1">
      <c r="A54" s="141" t="s">
        <v>23</v>
      </c>
      <c r="B54" s="559">
        <f>SUM(B42:B53)</f>
        <v>47208536.74000001</v>
      </c>
      <c r="C54" s="560"/>
      <c r="D54" s="561">
        <f>SUM(D42:D53)</f>
        <v>43236885.640000001</v>
      </c>
      <c r="E54" s="562"/>
      <c r="F54" s="262">
        <f t="shared" si="8"/>
        <v>-3971651.1000000089</v>
      </c>
      <c r="G54" s="263"/>
      <c r="H54" s="141" t="s">
        <v>23</v>
      </c>
      <c r="I54" s="264">
        <f>SUM(I42:I53)</f>
        <v>871288.78999999992</v>
      </c>
      <c r="J54" s="253"/>
      <c r="K54" s="265">
        <f>SUM(K42:K53)</f>
        <v>134</v>
      </c>
      <c r="L54" s="266">
        <f>I54/K54</f>
        <v>6502.155149253731</v>
      </c>
      <c r="N54" s="267" t="s">
        <v>23</v>
      </c>
      <c r="O54" s="268">
        <f>SUM(O42:O53)</f>
        <v>54570</v>
      </c>
      <c r="P54" s="219"/>
    </row>
    <row r="55" spans="1:16" s="5" customFormat="1" ht="24.75" customHeight="1">
      <c r="A55" s="269"/>
      <c r="B55" s="270"/>
      <c r="C55" s="270"/>
      <c r="D55" s="270"/>
      <c r="E55" s="270"/>
      <c r="F55" s="270"/>
      <c r="G55" s="215"/>
      <c r="H55" s="216"/>
      <c r="I55" s="168"/>
      <c r="J55" s="168"/>
      <c r="K55" s="271"/>
      <c r="L55" s="271"/>
    </row>
    <row r="56" spans="1:16" s="5" customFormat="1" ht="12.75">
      <c r="A56" s="272"/>
      <c r="B56" s="273"/>
      <c r="C56" s="273"/>
      <c r="D56" s="273"/>
      <c r="E56" s="273"/>
      <c r="F56" s="273"/>
      <c r="G56" s="273"/>
      <c r="H56" s="216"/>
      <c r="I56" s="168"/>
      <c r="J56" s="168"/>
      <c r="K56" s="168"/>
    </row>
    <row r="57" spans="1:16">
      <c r="A57" s="274"/>
      <c r="B57" s="165"/>
      <c r="C57" s="165"/>
      <c r="D57" s="165"/>
      <c r="E57" s="165"/>
      <c r="F57" s="165"/>
      <c r="G57" s="275"/>
      <c r="H57" s="168"/>
      <c r="I57" s="234"/>
      <c r="J57" s="234"/>
      <c r="K57" s="234"/>
      <c r="L57" s="7"/>
    </row>
    <row r="58" spans="1:16">
      <c r="A58" s="164"/>
      <c r="B58" s="276"/>
      <c r="C58" s="276"/>
      <c r="D58" s="276"/>
      <c r="E58" s="276"/>
      <c r="F58" s="276"/>
      <c r="G58" s="277"/>
      <c r="H58" s="168"/>
      <c r="I58" s="234"/>
      <c r="J58" s="234"/>
      <c r="K58" s="234"/>
      <c r="L58" s="7"/>
    </row>
    <row r="59" spans="1:16">
      <c r="A59" s="7"/>
      <c r="B59" s="7"/>
      <c r="C59" s="7"/>
      <c r="D59" s="7"/>
      <c r="E59" s="7"/>
      <c r="F59" s="7"/>
      <c r="G59" s="7"/>
      <c r="I59" s="7"/>
      <c r="J59" s="7"/>
      <c r="K59" s="7"/>
      <c r="L59" s="7"/>
    </row>
  </sheetData>
  <mergeCells count="33">
    <mergeCell ref="B54:C54"/>
    <mergeCell ref="D54:E54"/>
    <mergeCell ref="B51:C51"/>
    <mergeCell ref="D51:E51"/>
    <mergeCell ref="B52:C52"/>
    <mergeCell ref="D52:E52"/>
    <mergeCell ref="B53:C53"/>
    <mergeCell ref="D53:E53"/>
    <mergeCell ref="B48:C48"/>
    <mergeCell ref="D48:E48"/>
    <mergeCell ref="B49:C49"/>
    <mergeCell ref="D49:E49"/>
    <mergeCell ref="B50:C50"/>
    <mergeCell ref="D50:E50"/>
    <mergeCell ref="B45:C45"/>
    <mergeCell ref="D45:E45"/>
    <mergeCell ref="B46:C46"/>
    <mergeCell ref="D46:E46"/>
    <mergeCell ref="B47:C47"/>
    <mergeCell ref="D47:E47"/>
    <mergeCell ref="B42:C42"/>
    <mergeCell ref="D42:E42"/>
    <mergeCell ref="B43:C43"/>
    <mergeCell ref="D43:E43"/>
    <mergeCell ref="B44:C44"/>
    <mergeCell ref="D44:E44"/>
    <mergeCell ref="K2:L2"/>
    <mergeCell ref="B39:C41"/>
    <mergeCell ref="D39:E41"/>
    <mergeCell ref="F39:F41"/>
    <mergeCell ref="I39:I41"/>
    <mergeCell ref="K39:K41"/>
    <mergeCell ref="L39:L41"/>
  </mergeCells>
  <pageMargins left="0.11811023622047245" right="7.874015748031496E-2" top="0.35433070866141736" bottom="0.55118110236220474" header="0.31496062992125984" footer="0.31496062992125984"/>
  <pageSetup paperSize="9"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B21" sqref="B21"/>
    </sheetView>
  </sheetViews>
  <sheetFormatPr defaultRowHeight="15"/>
  <cols>
    <col min="1" max="1" width="65" customWidth="1"/>
    <col min="2" max="2" width="20.85546875" customWidth="1"/>
    <col min="3" max="3" width="13.140625" bestFit="1" customWidth="1"/>
    <col min="4" max="4" width="10.140625" bestFit="1" customWidth="1"/>
  </cols>
  <sheetData>
    <row r="1" spans="1:5" ht="15.75" thickBot="1">
      <c r="B1" s="529" t="s">
        <v>280</v>
      </c>
    </row>
    <row r="2" spans="1:5" ht="30" customHeight="1" thickBot="1">
      <c r="A2" s="466" t="s">
        <v>186</v>
      </c>
      <c r="B2" s="467"/>
      <c r="C2" s="454"/>
      <c r="D2" s="455"/>
    </row>
    <row r="3" spans="1:5" ht="6.95" customHeight="1" thickBot="1">
      <c r="A3" s="279"/>
      <c r="B3" s="279"/>
    </row>
    <row r="4" spans="1:5" ht="24.95" customHeight="1" thickBot="1">
      <c r="A4" s="468" t="s">
        <v>187</v>
      </c>
      <c r="B4" s="469" t="s">
        <v>188</v>
      </c>
    </row>
    <row r="5" spans="1:5" ht="15.75">
      <c r="A5" s="459" t="s">
        <v>195</v>
      </c>
      <c r="B5" s="460">
        <v>109830.05</v>
      </c>
      <c r="C5" s="455"/>
      <c r="D5" s="279"/>
    </row>
    <row r="6" spans="1:5" ht="15.75">
      <c r="A6" s="461" t="s">
        <v>196</v>
      </c>
      <c r="B6" s="462">
        <v>33236</v>
      </c>
      <c r="C6" s="456"/>
      <c r="D6" s="455"/>
    </row>
    <row r="7" spans="1:5" ht="15.75">
      <c r="A7" s="461" t="s">
        <v>192</v>
      </c>
      <c r="B7" s="462">
        <v>215173.61</v>
      </c>
      <c r="C7" s="455"/>
      <c r="D7" s="279"/>
    </row>
    <row r="8" spans="1:5" ht="15.75">
      <c r="A8" s="463" t="s">
        <v>193</v>
      </c>
      <c r="B8" s="462">
        <v>162350</v>
      </c>
      <c r="C8" s="455"/>
      <c r="D8" s="279"/>
    </row>
    <row r="9" spans="1:5" ht="15.75">
      <c r="A9" s="463" t="s">
        <v>189</v>
      </c>
      <c r="B9" s="462">
        <v>19900</v>
      </c>
      <c r="C9" s="455"/>
      <c r="D9" s="279"/>
    </row>
    <row r="10" spans="1:5" ht="15.75">
      <c r="A10" s="463" t="s">
        <v>194</v>
      </c>
      <c r="B10" s="462">
        <v>132605.19</v>
      </c>
      <c r="C10" s="455"/>
      <c r="D10" s="279"/>
    </row>
    <row r="11" spans="1:5" ht="15.75">
      <c r="A11" s="463" t="s">
        <v>191</v>
      </c>
      <c r="B11" s="462">
        <v>49500</v>
      </c>
      <c r="C11" s="455"/>
      <c r="D11" s="279"/>
    </row>
    <row r="12" spans="1:5" ht="16.5" thickBot="1">
      <c r="A12" s="464" t="s">
        <v>190</v>
      </c>
      <c r="B12" s="465">
        <v>43731.25</v>
      </c>
      <c r="C12" s="455"/>
      <c r="D12" s="455"/>
    </row>
    <row r="13" spans="1:5" ht="24.95" customHeight="1" thickBot="1">
      <c r="A13" s="470" t="s">
        <v>198</v>
      </c>
      <c r="B13" s="471">
        <f>SUM(B5:B12)</f>
        <v>766326.09999999986</v>
      </c>
      <c r="D13" s="458"/>
      <c r="E13" s="219"/>
    </row>
    <row r="14" spans="1:5" s="211" customFormat="1" ht="6.95" customHeight="1" thickBot="1">
      <c r="A14" s="457"/>
      <c r="B14" s="210"/>
    </row>
    <row r="15" spans="1:5" ht="24.95" customHeight="1" thickBot="1">
      <c r="A15" s="472" t="s">
        <v>197</v>
      </c>
      <c r="B15" s="471">
        <v>1032216.75</v>
      </c>
    </row>
    <row r="16" spans="1:5" ht="6.95" customHeight="1" thickBot="1"/>
    <row r="17" spans="1:2" ht="42.75" thickBot="1">
      <c r="A17" s="474" t="s">
        <v>199</v>
      </c>
      <c r="B17" s="475">
        <f>B13+B15</f>
        <v>1798542.8499999999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40"/>
  <sheetViews>
    <sheetView workbookViewId="0">
      <selection activeCell="D1" sqref="D1"/>
    </sheetView>
  </sheetViews>
  <sheetFormatPr defaultRowHeight="15"/>
  <cols>
    <col min="1" max="1" width="9.28515625" customWidth="1"/>
    <col min="2" max="2" width="9.140625" hidden="1" customWidth="1"/>
    <col min="3" max="3" width="56" customWidth="1"/>
    <col min="4" max="4" width="17.7109375" style="477" bestFit="1" customWidth="1"/>
    <col min="6" max="6" width="15.85546875" bestFit="1" customWidth="1"/>
    <col min="7" max="7" width="11.7109375" bestFit="1" customWidth="1"/>
  </cols>
  <sheetData>
    <row r="1" spans="1:7" ht="15.75" thickBot="1">
      <c r="D1" s="532" t="s">
        <v>281</v>
      </c>
    </row>
    <row r="2" spans="1:7" ht="15" customHeight="1">
      <c r="A2" s="668" t="s">
        <v>239</v>
      </c>
      <c r="B2" s="669"/>
      <c r="C2" s="669"/>
      <c r="D2" s="670"/>
    </row>
    <row r="3" spans="1:7" ht="62.25" customHeight="1" thickBot="1">
      <c r="A3" s="671"/>
      <c r="B3" s="672"/>
      <c r="C3" s="672"/>
      <c r="D3" s="673"/>
    </row>
    <row r="4" spans="1:7" ht="15.75" thickBot="1">
      <c r="A4" s="653" t="s">
        <v>200</v>
      </c>
      <c r="B4" s="676"/>
      <c r="C4" s="484" t="s">
        <v>214</v>
      </c>
      <c r="D4" s="485" t="s">
        <v>201</v>
      </c>
    </row>
    <row r="5" spans="1:7" ht="15.75" thickBot="1">
      <c r="A5" s="653" t="s">
        <v>209</v>
      </c>
      <c r="B5" s="654"/>
      <c r="C5" s="654"/>
      <c r="D5" s="478">
        <v>17000.7</v>
      </c>
    </row>
    <row r="6" spans="1:7" ht="15.75" thickBot="1">
      <c r="A6" s="674" t="s">
        <v>203</v>
      </c>
      <c r="B6" s="677"/>
      <c r="C6" s="487" t="s">
        <v>215</v>
      </c>
      <c r="D6" s="495">
        <v>17000.7</v>
      </c>
    </row>
    <row r="7" spans="1:7" ht="15.75" thickBot="1">
      <c r="A7" s="653" t="s">
        <v>202</v>
      </c>
      <c r="B7" s="654"/>
      <c r="C7" s="654"/>
      <c r="D7" s="478">
        <v>148034.67000000001</v>
      </c>
    </row>
    <row r="8" spans="1:7">
      <c r="A8" s="661" t="s">
        <v>203</v>
      </c>
      <c r="B8" s="662"/>
      <c r="C8" s="481" t="s">
        <v>210</v>
      </c>
      <c r="D8" s="496">
        <v>106498.58</v>
      </c>
      <c r="F8" s="477"/>
    </row>
    <row r="9" spans="1:7">
      <c r="A9" s="479"/>
      <c r="B9" s="480"/>
      <c r="C9" s="481" t="s">
        <v>204</v>
      </c>
      <c r="D9" s="496">
        <v>29068.92</v>
      </c>
      <c r="F9" s="477"/>
    </row>
    <row r="10" spans="1:7" ht="15.75" thickBot="1">
      <c r="A10" s="479"/>
      <c r="B10" s="480"/>
      <c r="C10" s="481" t="s">
        <v>213</v>
      </c>
      <c r="D10" s="497">
        <v>12467.17</v>
      </c>
      <c r="F10" s="477"/>
    </row>
    <row r="11" spans="1:7" ht="15.75" thickBot="1">
      <c r="A11" s="653" t="s">
        <v>205</v>
      </c>
      <c r="B11" s="654"/>
      <c r="C11" s="654"/>
      <c r="D11" s="478">
        <v>13286.31</v>
      </c>
      <c r="G11" s="476"/>
    </row>
    <row r="12" spans="1:7" ht="15.75" thickBot="1">
      <c r="A12" s="674" t="s">
        <v>203</v>
      </c>
      <c r="B12" s="675"/>
      <c r="C12" s="486" t="s">
        <v>216</v>
      </c>
      <c r="D12" s="495">
        <v>13286.31</v>
      </c>
      <c r="G12" s="476"/>
    </row>
    <row r="13" spans="1:7" ht="15.75" thickBot="1">
      <c r="A13" s="653" t="s">
        <v>206</v>
      </c>
      <c r="B13" s="654"/>
      <c r="C13" s="654"/>
      <c r="D13" s="488">
        <v>5162.8500000000004</v>
      </c>
    </row>
    <row r="14" spans="1:7" ht="15.75" thickBot="1">
      <c r="A14" s="674" t="s">
        <v>203</v>
      </c>
      <c r="B14" s="675"/>
      <c r="C14" s="486" t="s">
        <v>217</v>
      </c>
      <c r="D14" s="498">
        <v>5162.8500000000004</v>
      </c>
    </row>
    <row r="15" spans="1:7" ht="15.75" thickBot="1">
      <c r="A15" s="653" t="s">
        <v>207</v>
      </c>
      <c r="B15" s="654"/>
      <c r="C15" s="654"/>
      <c r="D15" s="478">
        <v>1523915.24</v>
      </c>
    </row>
    <row r="16" spans="1:7" ht="30">
      <c r="A16" s="655" t="s">
        <v>203</v>
      </c>
      <c r="B16" s="656"/>
      <c r="C16" s="491" t="s">
        <v>224</v>
      </c>
      <c r="D16" s="499">
        <v>237375</v>
      </c>
    </row>
    <row r="17" spans="1:6" ht="30">
      <c r="A17" s="501"/>
      <c r="B17" s="494"/>
      <c r="C17" s="490" t="s">
        <v>218</v>
      </c>
      <c r="D17" s="500">
        <v>229483.13</v>
      </c>
    </row>
    <row r="18" spans="1:6">
      <c r="A18" s="501"/>
      <c r="B18" s="494"/>
      <c r="C18" s="490" t="s">
        <v>226</v>
      </c>
      <c r="D18" s="500">
        <v>212500</v>
      </c>
    </row>
    <row r="19" spans="1:6" ht="30">
      <c r="A19" s="501"/>
      <c r="B19" s="494"/>
      <c r="C19" s="490" t="s">
        <v>227</v>
      </c>
      <c r="D19" s="500">
        <v>187853.75</v>
      </c>
      <c r="F19" s="477"/>
    </row>
    <row r="20" spans="1:6">
      <c r="A20" s="651"/>
      <c r="B20" s="652"/>
      <c r="C20" s="483" t="s">
        <v>221</v>
      </c>
      <c r="D20" s="500">
        <v>162375</v>
      </c>
    </row>
    <row r="21" spans="1:6" ht="30">
      <c r="A21" s="492"/>
      <c r="B21" s="288"/>
      <c r="C21" s="493" t="s">
        <v>225</v>
      </c>
      <c r="D21" s="500">
        <v>156250</v>
      </c>
    </row>
    <row r="22" spans="1:6">
      <c r="A22" s="492"/>
      <c r="B22" s="288"/>
      <c r="C22" s="482" t="s">
        <v>222</v>
      </c>
      <c r="D22" s="500">
        <v>87477.5</v>
      </c>
    </row>
    <row r="23" spans="1:6">
      <c r="A23" s="492"/>
      <c r="B23" s="288"/>
      <c r="C23" s="482" t="s">
        <v>223</v>
      </c>
      <c r="D23" s="500">
        <v>71000</v>
      </c>
    </row>
    <row r="24" spans="1:6">
      <c r="A24" s="651"/>
      <c r="B24" s="652"/>
      <c r="C24" s="482" t="s">
        <v>219</v>
      </c>
      <c r="D24" s="500">
        <v>49770</v>
      </c>
    </row>
    <row r="25" spans="1:6">
      <c r="A25" s="492"/>
      <c r="B25" s="288"/>
      <c r="C25" s="482" t="s">
        <v>228</v>
      </c>
      <c r="D25" s="500">
        <v>31416.400000000001</v>
      </c>
    </row>
    <row r="26" spans="1:6">
      <c r="A26" s="651"/>
      <c r="B26" s="652"/>
      <c r="C26" s="482" t="s">
        <v>220</v>
      </c>
      <c r="D26" s="500">
        <v>24525</v>
      </c>
      <c r="F26" s="476"/>
    </row>
    <row r="27" spans="1:6">
      <c r="A27" s="651"/>
      <c r="B27" s="652"/>
      <c r="C27" s="482" t="s">
        <v>229</v>
      </c>
      <c r="D27" s="500">
        <v>18668.75</v>
      </c>
      <c r="F27" s="476"/>
    </row>
    <row r="28" spans="1:6" ht="15.75" thickBot="1">
      <c r="A28" s="651"/>
      <c r="B28" s="652"/>
      <c r="C28" s="482" t="s">
        <v>230</v>
      </c>
      <c r="D28" s="500">
        <v>55220.71</v>
      </c>
    </row>
    <row r="29" spans="1:6" ht="30" customHeight="1" thickBot="1">
      <c r="A29" s="659" t="s">
        <v>231</v>
      </c>
      <c r="B29" s="660"/>
      <c r="C29" s="660"/>
      <c r="D29" s="478">
        <v>171751.54</v>
      </c>
    </row>
    <row r="30" spans="1:6">
      <c r="A30" s="661" t="s">
        <v>203</v>
      </c>
      <c r="B30" s="662"/>
      <c r="C30" s="489" t="s">
        <v>232</v>
      </c>
      <c r="D30" s="499">
        <v>101475</v>
      </c>
    </row>
    <row r="31" spans="1:6">
      <c r="A31" s="657"/>
      <c r="B31" s="658"/>
      <c r="C31" s="482" t="s">
        <v>233</v>
      </c>
      <c r="D31" s="500">
        <v>19850</v>
      </c>
      <c r="F31" s="476"/>
    </row>
    <row r="32" spans="1:6">
      <c r="A32" s="657"/>
      <c r="B32" s="658"/>
      <c r="C32" s="482" t="s">
        <v>234</v>
      </c>
      <c r="D32" s="500">
        <v>17850</v>
      </c>
    </row>
    <row r="33" spans="1:6">
      <c r="A33" s="657"/>
      <c r="B33" s="658"/>
      <c r="C33" s="482" t="s">
        <v>235</v>
      </c>
      <c r="D33" s="500">
        <v>8291.25</v>
      </c>
    </row>
    <row r="34" spans="1:6">
      <c r="A34" s="657"/>
      <c r="B34" s="658"/>
      <c r="C34" s="482" t="s">
        <v>236</v>
      </c>
      <c r="D34" s="500">
        <v>6326.1</v>
      </c>
    </row>
    <row r="35" spans="1:6">
      <c r="A35" s="657"/>
      <c r="B35" s="658"/>
      <c r="C35" s="482" t="s">
        <v>237</v>
      </c>
      <c r="D35" s="500">
        <v>4199</v>
      </c>
    </row>
    <row r="36" spans="1:6" ht="15.75" thickBot="1">
      <c r="A36" s="657"/>
      <c r="B36" s="658"/>
      <c r="C36" s="482" t="s">
        <v>238</v>
      </c>
      <c r="D36" s="500">
        <v>13760.19</v>
      </c>
    </row>
    <row r="37" spans="1:6" ht="15.75" thickBot="1">
      <c r="A37" s="663" t="s">
        <v>208</v>
      </c>
      <c r="B37" s="664"/>
      <c r="C37" s="665"/>
      <c r="D37" s="478">
        <v>30203.75</v>
      </c>
    </row>
    <row r="38" spans="1:6">
      <c r="A38" s="666" t="s">
        <v>203</v>
      </c>
      <c r="B38" s="667"/>
      <c r="C38" s="489" t="s">
        <v>211</v>
      </c>
      <c r="D38" s="499">
        <v>18200</v>
      </c>
      <c r="F38" s="476"/>
    </row>
    <row r="39" spans="1:6" ht="15.75" customHeight="1" thickBot="1">
      <c r="A39" s="657"/>
      <c r="B39" s="658"/>
      <c r="C39" s="490" t="s">
        <v>212</v>
      </c>
      <c r="D39" s="500">
        <v>12003.75</v>
      </c>
      <c r="F39" s="476"/>
    </row>
    <row r="40" spans="1:6" s="473" customFormat="1" ht="24.95" customHeight="1" thickBot="1">
      <c r="A40" s="504"/>
      <c r="B40" s="505"/>
      <c r="C40" s="502" t="s">
        <v>10</v>
      </c>
      <c r="D40" s="503">
        <f>SUM(D5,D7,D11,D13,D15,D29,D37)</f>
        <v>1909355.06</v>
      </c>
    </row>
  </sheetData>
  <mergeCells count="28">
    <mergeCell ref="A2:D3"/>
    <mergeCell ref="A14:B14"/>
    <mergeCell ref="A12:B12"/>
    <mergeCell ref="A13:C13"/>
    <mergeCell ref="A11:C11"/>
    <mergeCell ref="A7:C7"/>
    <mergeCell ref="A8:B8"/>
    <mergeCell ref="A4:B4"/>
    <mergeCell ref="A6:B6"/>
    <mergeCell ref="A5:C5"/>
    <mergeCell ref="A39:B39"/>
    <mergeCell ref="A35:B35"/>
    <mergeCell ref="A36:B36"/>
    <mergeCell ref="A33:B33"/>
    <mergeCell ref="A34:B34"/>
    <mergeCell ref="A37:C37"/>
    <mergeCell ref="A38:B38"/>
    <mergeCell ref="A31:B31"/>
    <mergeCell ref="A32:B32"/>
    <mergeCell ref="A29:C29"/>
    <mergeCell ref="A30:B30"/>
    <mergeCell ref="A27:B27"/>
    <mergeCell ref="A28:B28"/>
    <mergeCell ref="A24:B24"/>
    <mergeCell ref="A26:B26"/>
    <mergeCell ref="A15:C15"/>
    <mergeCell ref="A16:B16"/>
    <mergeCell ref="A20:B20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L2" sqref="L2"/>
    </sheetView>
  </sheetViews>
  <sheetFormatPr defaultRowHeight="15.75"/>
  <cols>
    <col min="1" max="1" width="35.140625" style="507" customWidth="1"/>
    <col min="2" max="9" width="14.42578125" style="507" customWidth="1"/>
    <col min="10" max="11" width="13.42578125" style="507" customWidth="1"/>
    <col min="12" max="16384" width="9.140625" style="507"/>
  </cols>
  <sheetData>
    <row r="1" spans="1:12" ht="16.5" thickBot="1">
      <c r="A1" s="506" t="s">
        <v>240</v>
      </c>
      <c r="K1" s="533" t="s">
        <v>282</v>
      </c>
    </row>
    <row r="2" spans="1:12" ht="26.25" customHeight="1" thickBot="1">
      <c r="A2" s="508" t="s">
        <v>241</v>
      </c>
      <c r="B2" s="508"/>
    </row>
    <row r="3" spans="1:12">
      <c r="A3" s="506"/>
    </row>
    <row r="4" spans="1:12">
      <c r="A4" s="678" t="s">
        <v>242</v>
      </c>
      <c r="B4" s="678"/>
      <c r="C4" s="678"/>
      <c r="D4" s="678"/>
      <c r="E4" s="678"/>
      <c r="F4" s="678"/>
      <c r="G4" s="678"/>
      <c r="H4" s="678"/>
      <c r="I4" s="678"/>
      <c r="J4" s="678"/>
    </row>
    <row r="5" spans="1:12" ht="16.5" thickBot="1">
      <c r="A5" s="509"/>
      <c r="B5" s="509"/>
      <c r="C5" s="510"/>
      <c r="D5" s="510"/>
      <c r="E5" s="511"/>
      <c r="F5" s="511"/>
      <c r="G5" s="511"/>
      <c r="H5" s="511"/>
      <c r="I5" s="511"/>
      <c r="K5" s="511"/>
      <c r="L5" s="511" t="s">
        <v>243</v>
      </c>
    </row>
    <row r="6" spans="1:12" ht="36" customHeight="1" thickBot="1">
      <c r="A6" s="512" t="s">
        <v>244</v>
      </c>
      <c r="B6" s="513" t="s">
        <v>245</v>
      </c>
      <c r="C6" s="513" t="s">
        <v>246</v>
      </c>
      <c r="D6" s="513" t="s">
        <v>247</v>
      </c>
      <c r="E6" s="513" t="s">
        <v>248</v>
      </c>
      <c r="F6" s="513" t="s">
        <v>249</v>
      </c>
      <c r="G6" s="513" t="s">
        <v>250</v>
      </c>
      <c r="H6" s="513" t="s">
        <v>251</v>
      </c>
      <c r="I6" s="513" t="s">
        <v>252</v>
      </c>
      <c r="J6" s="513" t="s">
        <v>253</v>
      </c>
      <c r="K6" s="514" t="s">
        <v>254</v>
      </c>
      <c r="L6" s="514" t="s">
        <v>255</v>
      </c>
    </row>
    <row r="7" spans="1:12" ht="16.5" thickBot="1">
      <c r="A7" s="515">
        <v>0</v>
      </c>
      <c r="B7" s="516">
        <v>1</v>
      </c>
      <c r="C7" s="516">
        <v>2</v>
      </c>
      <c r="D7" s="516">
        <v>3</v>
      </c>
      <c r="E7" s="516">
        <v>4</v>
      </c>
      <c r="F7" s="516">
        <v>5</v>
      </c>
      <c r="G7" s="516">
        <v>6</v>
      </c>
      <c r="H7" s="516">
        <v>7</v>
      </c>
      <c r="I7" s="516">
        <v>8</v>
      </c>
      <c r="J7" s="517">
        <v>9</v>
      </c>
      <c r="K7" s="517">
        <v>9</v>
      </c>
      <c r="L7" s="517">
        <v>10</v>
      </c>
    </row>
    <row r="8" spans="1:12" ht="24.95" customHeight="1">
      <c r="A8" s="518" t="s">
        <v>256</v>
      </c>
      <c r="B8" s="519">
        <v>291422.96999999997</v>
      </c>
      <c r="C8" s="519">
        <v>0</v>
      </c>
      <c r="D8" s="519">
        <v>0</v>
      </c>
      <c r="E8" s="519">
        <v>0</v>
      </c>
      <c r="F8" s="519">
        <v>0</v>
      </c>
      <c r="G8" s="519">
        <v>0</v>
      </c>
      <c r="H8" s="519">
        <v>0</v>
      </c>
      <c r="I8" s="519">
        <v>0</v>
      </c>
      <c r="J8" s="519">
        <v>0</v>
      </c>
      <c r="K8" s="519">
        <v>0</v>
      </c>
      <c r="L8" s="519">
        <v>0</v>
      </c>
    </row>
    <row r="9" spans="1:12" ht="24.95" customHeight="1">
      <c r="A9" s="520" t="s">
        <v>257</v>
      </c>
      <c r="B9" s="521">
        <v>1591439.6</v>
      </c>
      <c r="C9" s="519">
        <v>0</v>
      </c>
      <c r="D9" s="521">
        <v>0</v>
      </c>
      <c r="E9" s="521">
        <v>0</v>
      </c>
      <c r="F9" s="521">
        <v>0</v>
      </c>
      <c r="G9" s="521">
        <v>0</v>
      </c>
      <c r="H9" s="521">
        <v>0</v>
      </c>
      <c r="I9" s="521">
        <v>0</v>
      </c>
      <c r="J9" s="521">
        <v>0</v>
      </c>
      <c r="K9" s="521">
        <v>0</v>
      </c>
      <c r="L9" s="521">
        <v>0</v>
      </c>
    </row>
    <row r="10" spans="1:12" ht="24.95" customHeight="1">
      <c r="A10" s="520" t="s">
        <v>258</v>
      </c>
      <c r="B10" s="521">
        <v>246554.79</v>
      </c>
      <c r="C10" s="519">
        <v>0</v>
      </c>
      <c r="D10" s="521">
        <v>0</v>
      </c>
      <c r="E10" s="521">
        <v>0</v>
      </c>
      <c r="F10" s="521">
        <v>0</v>
      </c>
      <c r="G10" s="521">
        <v>0</v>
      </c>
      <c r="H10" s="521">
        <v>0</v>
      </c>
      <c r="I10" s="521">
        <v>0</v>
      </c>
      <c r="J10" s="521">
        <v>0</v>
      </c>
      <c r="K10" s="521">
        <v>0</v>
      </c>
      <c r="L10" s="521">
        <v>0</v>
      </c>
    </row>
    <row r="11" spans="1:12" ht="24.95" customHeight="1">
      <c r="A11" s="520" t="s">
        <v>259</v>
      </c>
      <c r="B11" s="521">
        <v>543229.51</v>
      </c>
      <c r="C11" s="519">
        <v>0</v>
      </c>
      <c r="D11" s="521">
        <v>0</v>
      </c>
      <c r="E11" s="521">
        <v>0</v>
      </c>
      <c r="F11" s="521">
        <v>0</v>
      </c>
      <c r="G11" s="521">
        <v>0</v>
      </c>
      <c r="H11" s="521">
        <v>0</v>
      </c>
      <c r="I11" s="521">
        <v>0</v>
      </c>
      <c r="J11" s="521">
        <v>0</v>
      </c>
      <c r="K11" s="521">
        <v>0</v>
      </c>
      <c r="L11" s="521">
        <v>0</v>
      </c>
    </row>
    <row r="12" spans="1:12" ht="24.95" customHeight="1">
      <c r="A12" s="520" t="s">
        <v>260</v>
      </c>
      <c r="B12" s="521">
        <v>150027.35999999999</v>
      </c>
      <c r="C12" s="519">
        <v>3947.29</v>
      </c>
      <c r="D12" s="521">
        <v>3947.29</v>
      </c>
      <c r="E12" s="521">
        <v>0</v>
      </c>
      <c r="F12" s="521">
        <v>0</v>
      </c>
      <c r="G12" s="521">
        <v>0</v>
      </c>
      <c r="H12" s="521">
        <v>0</v>
      </c>
      <c r="I12" s="521">
        <v>0</v>
      </c>
      <c r="J12" s="521">
        <v>0</v>
      </c>
      <c r="K12" s="521">
        <v>0</v>
      </c>
      <c r="L12" s="521">
        <v>41</v>
      </c>
    </row>
    <row r="13" spans="1:12" ht="24.95" customHeight="1">
      <c r="A13" s="520" t="s">
        <v>261</v>
      </c>
      <c r="B13" s="521">
        <v>609025.46</v>
      </c>
      <c r="C13" s="519">
        <v>33700.910000000003</v>
      </c>
      <c r="D13" s="521">
        <v>14950.91</v>
      </c>
      <c r="E13" s="521">
        <v>18750</v>
      </c>
      <c r="F13" s="521">
        <v>0</v>
      </c>
      <c r="G13" s="521">
        <v>0</v>
      </c>
      <c r="H13" s="521">
        <v>0</v>
      </c>
      <c r="I13" s="521">
        <v>0</v>
      </c>
      <c r="J13" s="521">
        <v>0</v>
      </c>
      <c r="K13" s="521">
        <v>0</v>
      </c>
      <c r="L13" s="521">
        <v>79</v>
      </c>
    </row>
    <row r="14" spans="1:12" ht="24.95" customHeight="1">
      <c r="A14" s="520" t="s">
        <v>262</v>
      </c>
      <c r="B14" s="521">
        <v>46031.25</v>
      </c>
      <c r="C14" s="519">
        <v>0</v>
      </c>
      <c r="D14" s="521">
        <v>0</v>
      </c>
      <c r="E14" s="521">
        <v>0</v>
      </c>
      <c r="F14" s="521">
        <v>0</v>
      </c>
      <c r="G14" s="521">
        <v>0</v>
      </c>
      <c r="H14" s="521">
        <v>0</v>
      </c>
      <c r="I14" s="521">
        <v>0</v>
      </c>
      <c r="J14" s="521">
        <v>0</v>
      </c>
      <c r="K14" s="521">
        <v>0</v>
      </c>
      <c r="L14" s="521">
        <v>0</v>
      </c>
    </row>
    <row r="15" spans="1:12" ht="24.95" customHeight="1">
      <c r="A15" s="520" t="s">
        <v>263</v>
      </c>
      <c r="B15" s="521">
        <v>3356523.82</v>
      </c>
      <c r="C15" s="519">
        <v>0</v>
      </c>
      <c r="D15" s="521">
        <v>0</v>
      </c>
      <c r="E15" s="521">
        <v>0</v>
      </c>
      <c r="F15" s="521">
        <v>0</v>
      </c>
      <c r="G15" s="521">
        <v>0</v>
      </c>
      <c r="H15" s="521">
        <v>0</v>
      </c>
      <c r="I15" s="521">
        <v>0</v>
      </c>
      <c r="J15" s="521">
        <v>0</v>
      </c>
      <c r="K15" s="521">
        <v>0</v>
      </c>
      <c r="L15" s="521">
        <v>0</v>
      </c>
    </row>
    <row r="16" spans="1:12" ht="24.95" customHeight="1">
      <c r="A16" s="520" t="s">
        <v>264</v>
      </c>
      <c r="B16" s="521">
        <v>46206.75</v>
      </c>
      <c r="C16" s="519">
        <v>14009.73</v>
      </c>
      <c r="D16" s="521">
        <v>12858.75</v>
      </c>
      <c r="E16" s="521">
        <v>1150.98</v>
      </c>
      <c r="F16" s="521">
        <v>0</v>
      </c>
      <c r="G16" s="521">
        <v>0</v>
      </c>
      <c r="H16" s="521">
        <v>0</v>
      </c>
      <c r="I16" s="521">
        <v>0</v>
      </c>
      <c r="J16" s="521">
        <v>0</v>
      </c>
      <c r="K16" s="521">
        <v>0</v>
      </c>
      <c r="L16" s="521">
        <v>63</v>
      </c>
    </row>
    <row r="17" spans="1:12" ht="24.95" customHeight="1">
      <c r="A17" s="520" t="s">
        <v>265</v>
      </c>
      <c r="B17" s="521">
        <v>3411687.5</v>
      </c>
      <c r="C17" s="519">
        <v>0</v>
      </c>
      <c r="D17" s="521">
        <v>0</v>
      </c>
      <c r="E17" s="521">
        <v>0</v>
      </c>
      <c r="F17" s="521">
        <v>0</v>
      </c>
      <c r="G17" s="521">
        <v>0</v>
      </c>
      <c r="H17" s="521">
        <v>0</v>
      </c>
      <c r="I17" s="521">
        <v>0</v>
      </c>
      <c r="J17" s="521">
        <v>0</v>
      </c>
      <c r="K17" s="521">
        <v>0</v>
      </c>
      <c r="L17" s="521">
        <v>0</v>
      </c>
    </row>
    <row r="18" spans="1:12" ht="24.95" customHeight="1">
      <c r="A18" s="520" t="s">
        <v>266</v>
      </c>
      <c r="B18" s="521">
        <v>208306.09</v>
      </c>
      <c r="C18" s="519">
        <v>0</v>
      </c>
      <c r="D18" s="521">
        <v>0</v>
      </c>
      <c r="E18" s="521">
        <v>0</v>
      </c>
      <c r="F18" s="521">
        <v>0</v>
      </c>
      <c r="G18" s="521">
        <v>0</v>
      </c>
      <c r="H18" s="521">
        <v>0</v>
      </c>
      <c r="I18" s="521">
        <v>0</v>
      </c>
      <c r="J18" s="521">
        <v>0</v>
      </c>
      <c r="K18" s="521">
        <v>0</v>
      </c>
      <c r="L18" s="521">
        <v>0</v>
      </c>
    </row>
    <row r="19" spans="1:12" ht="24.95" customHeight="1" thickBot="1">
      <c r="A19" s="522" t="s">
        <v>267</v>
      </c>
      <c r="B19" s="523">
        <v>2619142</v>
      </c>
      <c r="C19" s="519">
        <f t="shared" ref="C19" si="0">SUM(D19:K19)</f>
        <v>0</v>
      </c>
      <c r="D19" s="523">
        <v>0</v>
      </c>
      <c r="E19" s="523">
        <v>0</v>
      </c>
      <c r="F19" s="523">
        <v>0</v>
      </c>
      <c r="G19" s="523">
        <v>0</v>
      </c>
      <c r="H19" s="523">
        <v>0</v>
      </c>
      <c r="I19" s="523">
        <v>0</v>
      </c>
      <c r="J19" s="523">
        <v>0</v>
      </c>
      <c r="K19" s="523">
        <v>0</v>
      </c>
      <c r="L19" s="523">
        <v>0</v>
      </c>
    </row>
    <row r="20" spans="1:12" ht="24.95" customHeight="1" thickBot="1">
      <c r="A20" s="524" t="s">
        <v>268</v>
      </c>
      <c r="B20" s="525">
        <f>SUM(B8:B19)</f>
        <v>13119597.1</v>
      </c>
      <c r="C20" s="525">
        <f>SUM(C8:C19)</f>
        <v>51657.930000000008</v>
      </c>
      <c r="D20" s="525">
        <f t="shared" ref="D20:J20" si="1">SUM(D8:D19)</f>
        <v>31756.95</v>
      </c>
      <c r="E20" s="525">
        <f t="shared" si="1"/>
        <v>19900.98</v>
      </c>
      <c r="F20" s="525">
        <f t="shared" si="1"/>
        <v>0</v>
      </c>
      <c r="G20" s="525">
        <f t="shared" si="1"/>
        <v>0</v>
      </c>
      <c r="H20" s="525">
        <f t="shared" si="1"/>
        <v>0</v>
      </c>
      <c r="I20" s="525">
        <f t="shared" si="1"/>
        <v>0</v>
      </c>
      <c r="J20" s="525">
        <f t="shared" si="1"/>
        <v>0</v>
      </c>
      <c r="K20" s="525">
        <f>SUM(K8:K19)</f>
        <v>0</v>
      </c>
      <c r="L20" s="525">
        <f>SUM(L8:L19)</f>
        <v>183</v>
      </c>
    </row>
    <row r="21" spans="1:12">
      <c r="A21" s="526"/>
    </row>
    <row r="22" spans="1:12">
      <c r="A22" s="526" t="s">
        <v>269</v>
      </c>
    </row>
    <row r="24" spans="1:12">
      <c r="A24" s="527" t="s">
        <v>270</v>
      </c>
      <c r="B24" s="528"/>
      <c r="C24" s="528"/>
      <c r="D24" s="528"/>
      <c r="E24" s="528"/>
    </row>
  </sheetData>
  <mergeCells count="1">
    <mergeCell ref="A4:J4"/>
  </mergeCells>
  <pageMargins left="0.45" right="0.4" top="0.64" bottom="0.64" header="0.3" footer="0.3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8" sqref="E28"/>
    </sheetView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4"/>
  <sheetViews>
    <sheetView workbookViewId="0">
      <selection activeCell="M1" sqref="M1"/>
    </sheetView>
  </sheetViews>
  <sheetFormatPr defaultRowHeight="15"/>
  <cols>
    <col min="1" max="1" width="13.5703125" customWidth="1"/>
    <col min="2" max="2" width="14.7109375" customWidth="1"/>
    <col min="3" max="3" width="8.7109375" customWidth="1"/>
    <col min="4" max="5" width="14.7109375" customWidth="1"/>
    <col min="6" max="6" width="8.7109375" customWidth="1"/>
    <col min="7" max="8" width="14.7109375" customWidth="1"/>
    <col min="9" max="9" width="8.7109375" customWidth="1"/>
    <col min="10" max="11" width="14.7109375" customWidth="1"/>
    <col min="12" max="12" width="8.7109375" customWidth="1"/>
    <col min="13" max="13" width="14.7109375" customWidth="1"/>
  </cols>
  <sheetData>
    <row r="1" spans="1:15" ht="15.75" thickBot="1">
      <c r="A1" s="278" t="s">
        <v>64</v>
      </c>
      <c r="B1" s="278"/>
      <c r="C1" s="278"/>
      <c r="G1" s="279"/>
      <c r="H1" s="279"/>
      <c r="I1" s="279"/>
      <c r="M1" s="529" t="s">
        <v>272</v>
      </c>
    </row>
    <row r="2" spans="1:15" ht="15.75" thickBot="1">
      <c r="A2" s="278"/>
      <c r="B2" s="278"/>
      <c r="C2" s="278"/>
      <c r="G2" s="279"/>
      <c r="H2" s="279"/>
      <c r="I2" s="279"/>
    </row>
    <row r="3" spans="1:15" ht="21.75" thickBot="1">
      <c r="A3" s="564" t="s">
        <v>65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6"/>
      <c r="O3" s="279"/>
    </row>
    <row r="4" spans="1:15" ht="19.5" thickBot="1">
      <c r="A4" s="280"/>
      <c r="B4" s="280"/>
      <c r="C4" s="280"/>
      <c r="D4" s="280"/>
      <c r="E4" s="280"/>
      <c r="F4" s="280"/>
      <c r="O4" s="279"/>
    </row>
    <row r="5" spans="1:15" ht="24.95" customHeight="1" thickBot="1">
      <c r="A5" s="281"/>
      <c r="B5" s="567" t="s">
        <v>66</v>
      </c>
      <c r="C5" s="568"/>
      <c r="D5" s="569"/>
      <c r="E5" s="570" t="s">
        <v>67</v>
      </c>
      <c r="F5" s="571"/>
      <c r="G5" s="572"/>
      <c r="H5" s="573" t="s">
        <v>68</v>
      </c>
      <c r="I5" s="574"/>
      <c r="J5" s="575"/>
      <c r="K5" s="576" t="s">
        <v>23</v>
      </c>
      <c r="L5" s="577"/>
      <c r="M5" s="578"/>
      <c r="O5" s="279"/>
    </row>
    <row r="6" spans="1:15" ht="45" customHeight="1">
      <c r="A6" s="282" t="s">
        <v>69</v>
      </c>
      <c r="B6" s="283" t="s">
        <v>70</v>
      </c>
      <c r="C6" s="284" t="s">
        <v>71</v>
      </c>
      <c r="D6" s="285" t="s">
        <v>72</v>
      </c>
      <c r="E6" s="283" t="s">
        <v>70</v>
      </c>
      <c r="F6" s="284" t="s">
        <v>71</v>
      </c>
      <c r="G6" s="285" t="s">
        <v>72</v>
      </c>
      <c r="H6" s="283" t="s">
        <v>70</v>
      </c>
      <c r="I6" s="284" t="s">
        <v>71</v>
      </c>
      <c r="J6" s="285" t="s">
        <v>72</v>
      </c>
      <c r="K6" s="283" t="s">
        <v>70</v>
      </c>
      <c r="L6" s="284" t="s">
        <v>71</v>
      </c>
      <c r="M6" s="285" t="s">
        <v>72</v>
      </c>
      <c r="O6" s="279"/>
    </row>
    <row r="7" spans="1:15" ht="20.100000000000001" customHeight="1">
      <c r="A7" s="286" t="s">
        <v>73</v>
      </c>
      <c r="B7" s="287">
        <v>64</v>
      </c>
      <c r="C7" s="288">
        <v>35</v>
      </c>
      <c r="D7" s="289">
        <f>B7/C7/31*100</f>
        <v>5.8986175115207375</v>
      </c>
      <c r="E7" s="290">
        <f>56+39</f>
        <v>95</v>
      </c>
      <c r="F7" s="288">
        <v>17</v>
      </c>
      <c r="G7" s="289">
        <f>E7/F7/31*100</f>
        <v>18.026565464895636</v>
      </c>
      <c r="H7" s="290">
        <v>0</v>
      </c>
      <c r="I7" s="288">
        <v>26</v>
      </c>
      <c r="J7" s="289">
        <f>H7/I7/31*100</f>
        <v>0</v>
      </c>
      <c r="K7" s="287">
        <f t="shared" ref="K7:L18" si="0">B7+E7+H7</f>
        <v>159</v>
      </c>
      <c r="L7" s="288">
        <f t="shared" si="0"/>
        <v>78</v>
      </c>
      <c r="M7" s="289">
        <f>K7/L7/31*100</f>
        <v>6.5756823821339943</v>
      </c>
      <c r="O7" s="291"/>
    </row>
    <row r="8" spans="1:15" ht="20.100000000000001" customHeight="1">
      <c r="A8" s="292" t="s">
        <v>74</v>
      </c>
      <c r="B8" s="287">
        <v>183</v>
      </c>
      <c r="C8" s="288">
        <v>35</v>
      </c>
      <c r="D8" s="289">
        <f>B8/C8/28*100</f>
        <v>18.673469387755102</v>
      </c>
      <c r="E8" s="290">
        <f>98+71</f>
        <v>169</v>
      </c>
      <c r="F8" s="288">
        <v>17</v>
      </c>
      <c r="G8" s="289">
        <f>E8/F8/28*100</f>
        <v>35.504201680672267</v>
      </c>
      <c r="H8" s="290">
        <v>0</v>
      </c>
      <c r="I8" s="288">
        <v>26</v>
      </c>
      <c r="J8" s="289">
        <f>H8/I8/28*100</f>
        <v>0</v>
      </c>
      <c r="K8" s="287">
        <f t="shared" si="0"/>
        <v>352</v>
      </c>
      <c r="L8" s="288">
        <f t="shared" si="0"/>
        <v>78</v>
      </c>
      <c r="M8" s="289">
        <f>K8/L8/28*100</f>
        <v>16.117216117216117</v>
      </c>
      <c r="O8" s="279"/>
    </row>
    <row r="9" spans="1:15" ht="20.100000000000001" customHeight="1">
      <c r="A9" s="292" t="s">
        <v>75</v>
      </c>
      <c r="B9" s="287">
        <v>277</v>
      </c>
      <c r="C9" s="288">
        <v>35</v>
      </c>
      <c r="D9" s="289">
        <f>B9/C9/31*100</f>
        <v>25.52995391705069</v>
      </c>
      <c r="E9" s="290">
        <f>120+118</f>
        <v>238</v>
      </c>
      <c r="F9" s="288">
        <v>17</v>
      </c>
      <c r="G9" s="289">
        <f>E9/F9/31*100</f>
        <v>45.161290322580641</v>
      </c>
      <c r="H9" s="290">
        <v>0</v>
      </c>
      <c r="I9" s="288">
        <v>26</v>
      </c>
      <c r="J9" s="289">
        <f>H9/I9/31*100</f>
        <v>0</v>
      </c>
      <c r="K9" s="287">
        <f t="shared" si="0"/>
        <v>515</v>
      </c>
      <c r="L9" s="288">
        <f t="shared" si="0"/>
        <v>78</v>
      </c>
      <c r="M9" s="289">
        <f>K9/L9/31*100</f>
        <v>21.298593879239039</v>
      </c>
      <c r="O9" s="279"/>
    </row>
    <row r="10" spans="1:15" ht="20.100000000000001" customHeight="1">
      <c r="A10" s="292" t="s">
        <v>76</v>
      </c>
      <c r="B10" s="287">
        <v>182</v>
      </c>
      <c r="C10" s="288">
        <v>35</v>
      </c>
      <c r="D10" s="289">
        <f>B10/C10/30*100</f>
        <v>17.333333333333336</v>
      </c>
      <c r="E10" s="290">
        <f>106+22</f>
        <v>128</v>
      </c>
      <c r="F10" s="288">
        <v>17</v>
      </c>
      <c r="G10" s="289">
        <f>E10/F10/30*100</f>
        <v>25.098039215686274</v>
      </c>
      <c r="H10" s="290">
        <v>0</v>
      </c>
      <c r="I10" s="288">
        <v>26</v>
      </c>
      <c r="J10" s="289">
        <f>H10/I10/30*100</f>
        <v>0</v>
      </c>
      <c r="K10" s="287">
        <f t="shared" si="0"/>
        <v>310</v>
      </c>
      <c r="L10" s="288">
        <f t="shared" si="0"/>
        <v>78</v>
      </c>
      <c r="M10" s="289">
        <f>K10/L10/30*100</f>
        <v>13.247863247863249</v>
      </c>
      <c r="O10" s="279"/>
    </row>
    <row r="11" spans="1:15" ht="20.100000000000001" customHeight="1">
      <c r="A11" s="292" t="s">
        <v>77</v>
      </c>
      <c r="B11" s="287">
        <v>303</v>
      </c>
      <c r="C11" s="288">
        <v>35</v>
      </c>
      <c r="D11" s="289">
        <f t="shared" ref="D11" si="1">B11/C11/31*100</f>
        <v>27.926267281105986</v>
      </c>
      <c r="E11" s="290">
        <f>136+24</f>
        <v>160</v>
      </c>
      <c r="F11" s="288">
        <v>17</v>
      </c>
      <c r="G11" s="289">
        <f t="shared" ref="G11" si="2">E11/F11/31*100</f>
        <v>30.360531309297912</v>
      </c>
      <c r="H11" s="290">
        <v>0</v>
      </c>
      <c r="I11" s="288">
        <v>26</v>
      </c>
      <c r="J11" s="289">
        <f t="shared" ref="J11" si="3">H11/I11/31*100</f>
        <v>0</v>
      </c>
      <c r="K11" s="287">
        <f t="shared" si="0"/>
        <v>463</v>
      </c>
      <c r="L11" s="288">
        <f t="shared" si="0"/>
        <v>78</v>
      </c>
      <c r="M11" s="289">
        <f t="shared" ref="M11" si="4">K11/L11/31*100</f>
        <v>19.148056244830439</v>
      </c>
      <c r="O11" s="279"/>
    </row>
    <row r="12" spans="1:15" ht="20.100000000000001" customHeight="1">
      <c r="A12" s="292" t="s">
        <v>78</v>
      </c>
      <c r="B12" s="287">
        <v>339</v>
      </c>
      <c r="C12" s="288">
        <v>35</v>
      </c>
      <c r="D12" s="289">
        <f>B12/C12/30*100</f>
        <v>32.285714285714285</v>
      </c>
      <c r="E12" s="290">
        <f>125+245</f>
        <v>370</v>
      </c>
      <c r="F12" s="288">
        <v>17</v>
      </c>
      <c r="G12" s="289">
        <f>E12/F12/30*100</f>
        <v>72.549019607843135</v>
      </c>
      <c r="H12" s="290">
        <v>1</v>
      </c>
      <c r="I12" s="288">
        <v>26</v>
      </c>
      <c r="J12" s="289">
        <f>H12/I12/30*100</f>
        <v>0.12820512820512819</v>
      </c>
      <c r="K12" s="287">
        <f t="shared" si="0"/>
        <v>710</v>
      </c>
      <c r="L12" s="288">
        <f t="shared" si="0"/>
        <v>78</v>
      </c>
      <c r="M12" s="289">
        <f>K12/L12/30*100</f>
        <v>30.341880341880341</v>
      </c>
      <c r="O12" s="279"/>
    </row>
    <row r="13" spans="1:15" ht="20.100000000000001" customHeight="1">
      <c r="A13" s="292" t="s">
        <v>79</v>
      </c>
      <c r="B13" s="287">
        <f>503+10</f>
        <v>513</v>
      </c>
      <c r="C13" s="288">
        <v>35</v>
      </c>
      <c r="D13" s="289">
        <f>B13/C13/31*100</f>
        <v>47.281105990783409</v>
      </c>
      <c r="E13" s="290">
        <f>121+152</f>
        <v>273</v>
      </c>
      <c r="F13" s="288">
        <v>17</v>
      </c>
      <c r="G13" s="289">
        <f>E13/F13/31*100</f>
        <v>51.802656546489565</v>
      </c>
      <c r="H13" s="290">
        <v>165</v>
      </c>
      <c r="I13" s="288">
        <v>26</v>
      </c>
      <c r="J13" s="289">
        <f>H13/I13/31*100</f>
        <v>20.471464019851116</v>
      </c>
      <c r="K13" s="287">
        <f t="shared" si="0"/>
        <v>951</v>
      </c>
      <c r="L13" s="288">
        <f t="shared" si="0"/>
        <v>78</v>
      </c>
      <c r="M13" s="289">
        <f>K13/L13/31*100</f>
        <v>39.330024813895783</v>
      </c>
      <c r="O13" s="279"/>
    </row>
    <row r="14" spans="1:15" ht="20.100000000000001" customHeight="1">
      <c r="A14" s="292" t="s">
        <v>80</v>
      </c>
      <c r="B14" s="287">
        <v>623</v>
      </c>
      <c r="C14" s="288">
        <v>35</v>
      </c>
      <c r="D14" s="289">
        <f>B14/C14/31*100</f>
        <v>57.41935483870968</v>
      </c>
      <c r="E14" s="290">
        <f>72+87</f>
        <v>159</v>
      </c>
      <c r="F14" s="288">
        <v>17</v>
      </c>
      <c r="G14" s="289">
        <f>E14/F14/31*100</f>
        <v>30.170777988614798</v>
      </c>
      <c r="H14" s="290">
        <v>703</v>
      </c>
      <c r="I14" s="288">
        <v>26</v>
      </c>
      <c r="J14" s="289">
        <f>H14/I14/31*100</f>
        <v>87.220843672456581</v>
      </c>
      <c r="K14" s="287">
        <f t="shared" si="0"/>
        <v>1485</v>
      </c>
      <c r="L14" s="288">
        <f t="shared" si="0"/>
        <v>78</v>
      </c>
      <c r="M14" s="289">
        <f>K14/L14/31*100</f>
        <v>61.414392059553357</v>
      </c>
      <c r="O14" s="279"/>
    </row>
    <row r="15" spans="1:15" ht="20.100000000000001" customHeight="1">
      <c r="A15" s="292" t="s">
        <v>81</v>
      </c>
      <c r="B15" s="287">
        <v>612</v>
      </c>
      <c r="C15" s="288">
        <v>35</v>
      </c>
      <c r="D15" s="289">
        <f>B15/C15/30*100</f>
        <v>58.285714285714285</v>
      </c>
      <c r="E15" s="287">
        <v>292</v>
      </c>
      <c r="F15" s="288">
        <v>17</v>
      </c>
      <c r="G15" s="289">
        <f>E15/F15/30*100</f>
        <v>57.254901960784309</v>
      </c>
      <c r="H15" s="287">
        <v>588</v>
      </c>
      <c r="I15" s="288">
        <v>26</v>
      </c>
      <c r="J15" s="289">
        <f>H15/I15/30*100</f>
        <v>75.384615384615401</v>
      </c>
      <c r="K15" s="287">
        <f t="shared" si="0"/>
        <v>1492</v>
      </c>
      <c r="L15" s="288">
        <f t="shared" si="0"/>
        <v>78</v>
      </c>
      <c r="M15" s="289">
        <f>K15/L15/30*100</f>
        <v>63.760683760683754</v>
      </c>
      <c r="O15" s="279"/>
    </row>
    <row r="16" spans="1:15" ht="20.100000000000001" customHeight="1">
      <c r="A16" s="292" t="s">
        <v>82</v>
      </c>
      <c r="B16" s="287">
        <v>540</v>
      </c>
      <c r="C16" s="288">
        <v>35</v>
      </c>
      <c r="D16" s="289">
        <f>B16/C16/31*100</f>
        <v>49.769585253456221</v>
      </c>
      <c r="E16" s="290">
        <f>98+209</f>
        <v>307</v>
      </c>
      <c r="F16" s="288">
        <v>17</v>
      </c>
      <c r="G16" s="289">
        <f>E16/F16/31*100</f>
        <v>58.254269449715366</v>
      </c>
      <c r="H16" s="287">
        <v>256</v>
      </c>
      <c r="I16" s="288">
        <v>26</v>
      </c>
      <c r="J16" s="289">
        <f>H16/I16/31*100</f>
        <v>31.761786600496279</v>
      </c>
      <c r="K16" s="287">
        <f t="shared" si="0"/>
        <v>1103</v>
      </c>
      <c r="L16" s="288">
        <f t="shared" si="0"/>
        <v>78</v>
      </c>
      <c r="M16" s="289">
        <f>K16/L16/31*100</f>
        <v>45.616211745244001</v>
      </c>
      <c r="O16" s="279"/>
    </row>
    <row r="17" spans="1:15" ht="20.100000000000001" customHeight="1">
      <c r="A17" s="292" t="s">
        <v>83</v>
      </c>
      <c r="B17" s="287">
        <v>394</v>
      </c>
      <c r="C17" s="288">
        <v>35</v>
      </c>
      <c r="D17" s="289">
        <f t="shared" ref="D17" si="5">B17/C17/30*100</f>
        <v>37.523809523809526</v>
      </c>
      <c r="E17" s="287">
        <f>177+127</f>
        <v>304</v>
      </c>
      <c r="F17" s="288">
        <v>17</v>
      </c>
      <c r="G17" s="289">
        <f t="shared" ref="G17" si="6">E17/F17/30*100</f>
        <v>59.607843137254903</v>
      </c>
      <c r="H17" s="287">
        <v>0</v>
      </c>
      <c r="I17" s="288">
        <v>26</v>
      </c>
      <c r="J17" s="289">
        <f t="shared" ref="J17:J18" si="7">H17/I17/30*100</f>
        <v>0</v>
      </c>
      <c r="K17" s="287">
        <f t="shared" si="0"/>
        <v>698</v>
      </c>
      <c r="L17" s="288">
        <f t="shared" si="0"/>
        <v>78</v>
      </c>
      <c r="M17" s="289">
        <f t="shared" ref="M17" si="8">K17/L17/30*100</f>
        <v>29.82905982905983</v>
      </c>
      <c r="O17" s="279"/>
    </row>
    <row r="18" spans="1:15" ht="20.100000000000001" customHeight="1" thickBot="1">
      <c r="A18" s="293" t="s">
        <v>84</v>
      </c>
      <c r="B18" s="294">
        <v>261</v>
      </c>
      <c r="C18" s="288">
        <v>35</v>
      </c>
      <c r="D18" s="289">
        <f>B18/C18/31*100</f>
        <v>24.055299539170509</v>
      </c>
      <c r="E18" s="294">
        <f>107+181</f>
        <v>288</v>
      </c>
      <c r="F18" s="288">
        <v>17</v>
      </c>
      <c r="G18" s="289">
        <f>E18/F18/31*100</f>
        <v>54.648956356736242</v>
      </c>
      <c r="H18" s="294">
        <v>0</v>
      </c>
      <c r="I18" s="288">
        <v>26</v>
      </c>
      <c r="J18" s="289">
        <f t="shared" si="7"/>
        <v>0</v>
      </c>
      <c r="K18" s="287">
        <f t="shared" si="0"/>
        <v>549</v>
      </c>
      <c r="L18" s="288">
        <f t="shared" si="0"/>
        <v>78</v>
      </c>
      <c r="M18" s="289">
        <f>K18/L18/31*100</f>
        <v>22.70471464019851</v>
      </c>
      <c r="O18" s="279"/>
    </row>
    <row r="19" spans="1:15" ht="69.95" customHeight="1" thickBot="1">
      <c r="A19" s="295" t="s">
        <v>85</v>
      </c>
      <c r="B19" s="296">
        <f>SUM(B7:B18)</f>
        <v>4291</v>
      </c>
      <c r="C19" s="297">
        <f>AVERAGE(C7:C18)</f>
        <v>35</v>
      </c>
      <c r="D19" s="297">
        <f>AVERAGE(D7:D18)</f>
        <v>33.498518762343643</v>
      </c>
      <c r="E19" s="298">
        <f>SUM(E7:E18)</f>
        <v>2783</v>
      </c>
      <c r="F19" s="299">
        <f>AVERAGE(F7:F18)</f>
        <v>17</v>
      </c>
      <c r="G19" s="299">
        <f>AVERAGE(G7:G18)</f>
        <v>44.869921086714264</v>
      </c>
      <c r="H19" s="300">
        <f>SUM(H7:H18)</f>
        <v>1713</v>
      </c>
      <c r="I19" s="301">
        <f>AVERAGE(I7:I18)</f>
        <v>26</v>
      </c>
      <c r="J19" s="301">
        <f>AVERAGE(J7:J18)</f>
        <v>17.913909567135377</v>
      </c>
      <c r="K19" s="302">
        <f>SUM(K7:K18)</f>
        <v>8787</v>
      </c>
      <c r="L19" s="303">
        <f>AVERAGE(L7:L18)</f>
        <v>78</v>
      </c>
      <c r="M19" s="304">
        <f>AVERAGE(M7:M18)</f>
        <v>30.782031588483203</v>
      </c>
      <c r="O19" s="279"/>
    </row>
    <row r="20" spans="1:15" s="211" customFormat="1" ht="9.9499999999999993" customHeight="1"/>
    <row r="21" spans="1:15" s="211" customFormat="1" ht="15" customHeight="1">
      <c r="A21" s="7" t="s">
        <v>86</v>
      </c>
    </row>
    <row r="22" spans="1:15" s="211" customFormat="1" ht="15" customHeight="1">
      <c r="A22" s="7" t="s">
        <v>87</v>
      </c>
    </row>
    <row r="23" spans="1:15" s="211" customFormat="1" ht="15" customHeight="1">
      <c r="A23" s="7" t="s">
        <v>88</v>
      </c>
      <c r="B23" s="234"/>
      <c r="C23" s="234"/>
      <c r="D23" s="234"/>
      <c r="E23" s="234"/>
      <c r="F23" s="234"/>
      <c r="G23" s="234"/>
      <c r="H23" s="234"/>
      <c r="I23" s="234"/>
      <c r="J23" s="305"/>
    </row>
    <row r="24" spans="1:15" s="211" customFormat="1" ht="15" customHeight="1">
      <c r="A24" s="211" t="s">
        <v>89</v>
      </c>
    </row>
  </sheetData>
  <mergeCells count="5">
    <mergeCell ref="A3:M3"/>
    <mergeCell ref="B5:D5"/>
    <mergeCell ref="E5:G5"/>
    <mergeCell ref="H5:J5"/>
    <mergeCell ref="K5:M5"/>
  </mergeCells>
  <pageMargins left="0.7" right="0.7" top="0.75" bottom="0.75" header="0.3" footer="0.3"/>
  <pageSetup paperSize="9" scale="75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0"/>
  <sheetViews>
    <sheetView workbookViewId="0">
      <selection activeCell="C1" sqref="C1"/>
    </sheetView>
  </sheetViews>
  <sheetFormatPr defaultRowHeight="15"/>
  <cols>
    <col min="1" max="1" width="13.85546875" customWidth="1"/>
    <col min="2" max="4" width="25.7109375" customWidth="1"/>
  </cols>
  <sheetData>
    <row r="1" spans="1:7" ht="15.75" thickBot="1">
      <c r="A1" s="278" t="s">
        <v>64</v>
      </c>
      <c r="B1" s="278"/>
      <c r="C1" s="278"/>
      <c r="D1" s="529" t="s">
        <v>273</v>
      </c>
    </row>
    <row r="2" spans="1:7" ht="15.75" thickBot="1">
      <c r="A2" s="278"/>
      <c r="B2" s="278"/>
      <c r="C2" s="278"/>
    </row>
    <row r="3" spans="1:7" ht="41.25" customHeight="1" thickBot="1">
      <c r="A3" s="579" t="s">
        <v>90</v>
      </c>
      <c r="B3" s="580"/>
      <c r="C3" s="580"/>
      <c r="D3" s="581"/>
      <c r="E3" s="211"/>
      <c r="F3" s="211"/>
      <c r="G3" s="211"/>
    </row>
    <row r="4" spans="1:7" ht="19.5" thickBot="1">
      <c r="A4" s="280"/>
      <c r="B4" s="280"/>
      <c r="C4" s="280"/>
      <c r="D4" s="280"/>
      <c r="F4" s="279"/>
    </row>
    <row r="5" spans="1:7" ht="24.95" customHeight="1" thickBot="1">
      <c r="A5" s="281"/>
      <c r="B5" s="582" t="s">
        <v>91</v>
      </c>
      <c r="C5" s="583"/>
      <c r="D5" s="584"/>
      <c r="F5" s="279"/>
    </row>
    <row r="6" spans="1:7" ht="45" customHeight="1" thickBot="1">
      <c r="A6" s="306" t="s">
        <v>69</v>
      </c>
      <c r="B6" s="307" t="s">
        <v>92</v>
      </c>
      <c r="C6" s="308" t="s">
        <v>93</v>
      </c>
      <c r="D6" s="309" t="s">
        <v>72</v>
      </c>
      <c r="F6" s="279"/>
    </row>
    <row r="7" spans="1:7" ht="20.100000000000001" customHeight="1">
      <c r="A7" s="292" t="s">
        <v>73</v>
      </c>
      <c r="B7" s="310">
        <v>2110</v>
      </c>
      <c r="C7" s="311">
        <v>130</v>
      </c>
      <c r="D7" s="312">
        <f>B7/C7/31*100</f>
        <v>52.357320099255574</v>
      </c>
      <c r="F7" s="279"/>
    </row>
    <row r="8" spans="1:7" ht="20.100000000000001" customHeight="1">
      <c r="A8" s="292" t="s">
        <v>74</v>
      </c>
      <c r="B8" s="287">
        <v>3202</v>
      </c>
      <c r="C8" s="288">
        <v>130</v>
      </c>
      <c r="D8" s="289">
        <f>B8/C8/28*100</f>
        <v>87.967032967032978</v>
      </c>
      <c r="F8" s="279"/>
    </row>
    <row r="9" spans="1:7" ht="20.100000000000001" customHeight="1">
      <c r="A9" s="292" t="s">
        <v>75</v>
      </c>
      <c r="B9" s="287">
        <v>3527</v>
      </c>
      <c r="C9" s="288">
        <v>130</v>
      </c>
      <c r="D9" s="289">
        <f>B9/C9/31*100</f>
        <v>87.518610421836229</v>
      </c>
      <c r="F9" s="279"/>
    </row>
    <row r="10" spans="1:7" ht="20.100000000000001" customHeight="1">
      <c r="A10" s="292" t="s">
        <v>76</v>
      </c>
      <c r="B10" s="287">
        <v>2868</v>
      </c>
      <c r="C10" s="288">
        <v>130</v>
      </c>
      <c r="D10" s="289">
        <f>B10/C10/30*100</f>
        <v>73.538461538461547</v>
      </c>
      <c r="F10" s="279"/>
    </row>
    <row r="11" spans="1:7" ht="20.100000000000001" customHeight="1">
      <c r="A11" s="292" t="s">
        <v>77</v>
      </c>
      <c r="B11" s="287">
        <v>3040</v>
      </c>
      <c r="C11" s="288">
        <v>130</v>
      </c>
      <c r="D11" s="289">
        <f>B11/C11/31*100</f>
        <v>75.434243176178654</v>
      </c>
      <c r="F11" s="279"/>
    </row>
    <row r="12" spans="1:7" ht="20.100000000000001" customHeight="1">
      <c r="A12" s="292" t="s">
        <v>78</v>
      </c>
      <c r="B12" s="287">
        <v>3151</v>
      </c>
      <c r="C12" s="288">
        <v>130</v>
      </c>
      <c r="D12" s="289">
        <f>B12/C12/30*100</f>
        <v>80.79487179487181</v>
      </c>
      <c r="F12" s="279"/>
    </row>
    <row r="13" spans="1:7" ht="20.100000000000001" customHeight="1">
      <c r="A13" s="292" t="s">
        <v>79</v>
      </c>
      <c r="B13" s="287">
        <v>2698</v>
      </c>
      <c r="C13" s="288">
        <v>130</v>
      </c>
      <c r="D13" s="289">
        <f>B13/C13/31*100</f>
        <v>66.947890818858568</v>
      </c>
      <c r="F13" s="279"/>
    </row>
    <row r="14" spans="1:7" ht="20.100000000000001" customHeight="1">
      <c r="A14" s="292" t="s">
        <v>80</v>
      </c>
      <c r="B14" s="287">
        <v>1839</v>
      </c>
      <c r="C14" s="288">
        <v>130</v>
      </c>
      <c r="D14" s="289">
        <f>B14/C14/31*100</f>
        <v>45.63275434243176</v>
      </c>
      <c r="F14" s="279"/>
    </row>
    <row r="15" spans="1:7" ht="20.100000000000001" customHeight="1">
      <c r="A15" s="292" t="s">
        <v>81</v>
      </c>
      <c r="B15" s="287">
        <v>2277</v>
      </c>
      <c r="C15" s="288">
        <v>130</v>
      </c>
      <c r="D15" s="289">
        <f>B15/C15/30*100</f>
        <v>58.38461538461538</v>
      </c>
      <c r="F15" s="279"/>
    </row>
    <row r="16" spans="1:7" ht="20.100000000000001" customHeight="1">
      <c r="A16" s="292" t="s">
        <v>82</v>
      </c>
      <c r="B16" s="287">
        <v>2890</v>
      </c>
      <c r="C16" s="288">
        <v>130</v>
      </c>
      <c r="D16" s="289">
        <f t="shared" ref="D16:D18" si="0">B16/C16/31*100</f>
        <v>71.712158808932998</v>
      </c>
      <c r="F16" s="279"/>
    </row>
    <row r="17" spans="1:10" ht="20.100000000000001" customHeight="1">
      <c r="A17" s="292" t="s">
        <v>83</v>
      </c>
      <c r="B17" s="287">
        <v>3066</v>
      </c>
      <c r="C17" s="288">
        <v>130</v>
      </c>
      <c r="D17" s="289">
        <f>B17/C17/30*100</f>
        <v>78.615384615384613</v>
      </c>
      <c r="F17" s="279"/>
    </row>
    <row r="18" spans="1:10" ht="20.100000000000001" customHeight="1" thickBot="1">
      <c r="A18" s="292" t="s">
        <v>84</v>
      </c>
      <c r="B18" s="294">
        <v>2244</v>
      </c>
      <c r="C18" s="288">
        <v>130</v>
      </c>
      <c r="D18" s="289">
        <f t="shared" si="0"/>
        <v>55.682382133995034</v>
      </c>
      <c r="F18" s="279"/>
    </row>
    <row r="19" spans="1:10" ht="63.75" customHeight="1" thickBot="1">
      <c r="A19" s="295" t="s">
        <v>85</v>
      </c>
      <c r="B19" s="313">
        <f>SUM(B7:B18)</f>
        <v>32912</v>
      </c>
      <c r="C19" s="314">
        <f>AVERAGE(C7:C18)</f>
        <v>130</v>
      </c>
      <c r="D19" s="315">
        <f>AVERAGE(D7:D18)</f>
        <v>69.548810508487932</v>
      </c>
      <c r="F19" s="279"/>
    </row>
    <row r="20" spans="1:10" s="211" customFormat="1" ht="9.9499999999999993" customHeight="1"/>
    <row r="21" spans="1:10" s="211" customFormat="1" ht="15" customHeight="1">
      <c r="A21" s="7" t="s">
        <v>94</v>
      </c>
    </row>
    <row r="22" spans="1:10" s="211" customFormat="1" ht="15" customHeight="1">
      <c r="A22" s="7" t="s">
        <v>95</v>
      </c>
    </row>
    <row r="23" spans="1:10" s="211" customFormat="1" ht="15" customHeight="1">
      <c r="A23" s="7" t="s">
        <v>96</v>
      </c>
      <c r="B23" s="234"/>
      <c r="C23" s="234"/>
      <c r="D23" s="234"/>
      <c r="E23" s="234"/>
      <c r="F23" s="234"/>
      <c r="G23" s="234"/>
      <c r="H23" s="234"/>
      <c r="I23" s="234"/>
      <c r="J23" s="234"/>
    </row>
    <row r="24" spans="1:10" s="211" customFormat="1" ht="15" customHeight="1">
      <c r="A24" s="234"/>
      <c r="B24" s="234"/>
      <c r="C24" s="234"/>
      <c r="D24" s="234"/>
      <c r="E24" s="234"/>
      <c r="F24" s="234"/>
      <c r="G24" s="234"/>
      <c r="H24" s="234"/>
      <c r="I24" s="234"/>
      <c r="J24" s="234"/>
    </row>
    <row r="40" ht="10.5" customHeight="1"/>
  </sheetData>
  <mergeCells count="2">
    <mergeCell ref="A3:D3"/>
    <mergeCell ref="B5:D5"/>
  </mergeCells>
  <pageMargins left="0.7" right="0.7" top="0.75" bottom="0.75" header="0.3" footer="0.3"/>
  <pageSetup paperSize="9" scale="75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29"/>
  <sheetViews>
    <sheetView zoomScale="75" workbookViewId="0">
      <selection activeCell="AD7" sqref="AD7"/>
    </sheetView>
  </sheetViews>
  <sheetFormatPr defaultRowHeight="15"/>
  <cols>
    <col min="1" max="1" width="7" style="316" customWidth="1"/>
    <col min="2" max="2" width="29.5703125" style="331" customWidth="1"/>
    <col min="3" max="3" width="8.5703125" style="316" customWidth="1"/>
    <col min="4" max="4" width="9" style="316" customWidth="1"/>
    <col min="5" max="5" width="8.85546875" style="316" customWidth="1"/>
    <col min="6" max="6" width="9.140625" style="316" customWidth="1"/>
    <col min="7" max="7" width="8.85546875" style="316" customWidth="1"/>
    <col min="8" max="8" width="9.140625" style="316" customWidth="1"/>
    <col min="9" max="9" width="8.28515625" style="316" customWidth="1"/>
    <col min="10" max="10" width="9.140625" style="316" customWidth="1"/>
    <col min="11" max="11" width="8.85546875" style="316" customWidth="1"/>
    <col min="12" max="12" width="9.140625" style="316" customWidth="1"/>
    <col min="13" max="13" width="8.7109375" style="316" customWidth="1"/>
    <col min="14" max="14" width="9.140625" style="316" customWidth="1"/>
    <col min="15" max="15" width="8.42578125" style="316" customWidth="1"/>
    <col min="16" max="17" width="9" style="316" customWidth="1"/>
    <col min="18" max="18" width="8.85546875" style="316" customWidth="1"/>
    <col min="19" max="21" width="8.5703125" style="343" customWidth="1"/>
    <col min="22" max="22" width="8.42578125" style="343" customWidth="1"/>
    <col min="23" max="23" width="8.28515625" style="343" customWidth="1"/>
    <col min="24" max="24" width="9.140625" style="343" customWidth="1"/>
    <col min="25" max="25" width="9" style="345" customWidth="1"/>
    <col min="26" max="26" width="9.140625" style="345" customWidth="1"/>
    <col min="27" max="27" width="11.42578125" style="343" customWidth="1"/>
    <col min="28" max="28" width="10.5703125" style="316" customWidth="1"/>
    <col min="29" max="268" width="9.140625" style="316"/>
    <col min="269" max="269" width="16.7109375" style="316" customWidth="1"/>
    <col min="270" max="270" width="35.7109375" style="316" customWidth="1"/>
    <col min="271" max="283" width="14.7109375" style="316" customWidth="1"/>
    <col min="284" max="524" width="9.140625" style="316"/>
    <col min="525" max="525" width="16.7109375" style="316" customWidth="1"/>
    <col min="526" max="526" width="35.7109375" style="316" customWidth="1"/>
    <col min="527" max="539" width="14.7109375" style="316" customWidth="1"/>
    <col min="540" max="780" width="9.140625" style="316"/>
    <col min="781" max="781" width="16.7109375" style="316" customWidth="1"/>
    <col min="782" max="782" width="35.7109375" style="316" customWidth="1"/>
    <col min="783" max="795" width="14.7109375" style="316" customWidth="1"/>
    <col min="796" max="1036" width="9.140625" style="316"/>
    <col min="1037" max="1037" width="16.7109375" style="316" customWidth="1"/>
    <col min="1038" max="1038" width="35.7109375" style="316" customWidth="1"/>
    <col min="1039" max="1051" width="14.7109375" style="316" customWidth="1"/>
    <col min="1052" max="1292" width="9.140625" style="316"/>
    <col min="1293" max="1293" width="16.7109375" style="316" customWidth="1"/>
    <col min="1294" max="1294" width="35.7109375" style="316" customWidth="1"/>
    <col min="1295" max="1307" width="14.7109375" style="316" customWidth="1"/>
    <col min="1308" max="1548" width="9.140625" style="316"/>
    <col min="1549" max="1549" width="16.7109375" style="316" customWidth="1"/>
    <col min="1550" max="1550" width="35.7109375" style="316" customWidth="1"/>
    <col min="1551" max="1563" width="14.7109375" style="316" customWidth="1"/>
    <col min="1564" max="1804" width="9.140625" style="316"/>
    <col min="1805" max="1805" width="16.7109375" style="316" customWidth="1"/>
    <col min="1806" max="1806" width="35.7109375" style="316" customWidth="1"/>
    <col min="1807" max="1819" width="14.7109375" style="316" customWidth="1"/>
    <col min="1820" max="2060" width="9.140625" style="316"/>
    <col min="2061" max="2061" width="16.7109375" style="316" customWidth="1"/>
    <col min="2062" max="2062" width="35.7109375" style="316" customWidth="1"/>
    <col min="2063" max="2075" width="14.7109375" style="316" customWidth="1"/>
    <col min="2076" max="2316" width="9.140625" style="316"/>
    <col min="2317" max="2317" width="16.7109375" style="316" customWidth="1"/>
    <col min="2318" max="2318" width="35.7109375" style="316" customWidth="1"/>
    <col min="2319" max="2331" width="14.7109375" style="316" customWidth="1"/>
    <col min="2332" max="2572" width="9.140625" style="316"/>
    <col min="2573" max="2573" width="16.7109375" style="316" customWidth="1"/>
    <col min="2574" max="2574" width="35.7109375" style="316" customWidth="1"/>
    <col min="2575" max="2587" width="14.7109375" style="316" customWidth="1"/>
    <col min="2588" max="2828" width="9.140625" style="316"/>
    <col min="2829" max="2829" width="16.7109375" style="316" customWidth="1"/>
    <col min="2830" max="2830" width="35.7109375" style="316" customWidth="1"/>
    <col min="2831" max="2843" width="14.7109375" style="316" customWidth="1"/>
    <col min="2844" max="3084" width="9.140625" style="316"/>
    <col min="3085" max="3085" width="16.7109375" style="316" customWidth="1"/>
    <col min="3086" max="3086" width="35.7109375" style="316" customWidth="1"/>
    <col min="3087" max="3099" width="14.7109375" style="316" customWidth="1"/>
    <col min="3100" max="3340" width="9.140625" style="316"/>
    <col min="3341" max="3341" width="16.7109375" style="316" customWidth="1"/>
    <col min="3342" max="3342" width="35.7109375" style="316" customWidth="1"/>
    <col min="3343" max="3355" width="14.7109375" style="316" customWidth="1"/>
    <col min="3356" max="3596" width="9.140625" style="316"/>
    <col min="3597" max="3597" width="16.7109375" style="316" customWidth="1"/>
    <col min="3598" max="3598" width="35.7109375" style="316" customWidth="1"/>
    <col min="3599" max="3611" width="14.7109375" style="316" customWidth="1"/>
    <col min="3612" max="3852" width="9.140625" style="316"/>
    <col min="3853" max="3853" width="16.7109375" style="316" customWidth="1"/>
    <col min="3854" max="3854" width="35.7109375" style="316" customWidth="1"/>
    <col min="3855" max="3867" width="14.7109375" style="316" customWidth="1"/>
    <col min="3868" max="4108" width="9.140625" style="316"/>
    <col min="4109" max="4109" width="16.7109375" style="316" customWidth="1"/>
    <col min="4110" max="4110" width="35.7109375" style="316" customWidth="1"/>
    <col min="4111" max="4123" width="14.7109375" style="316" customWidth="1"/>
    <col min="4124" max="4364" width="9.140625" style="316"/>
    <col min="4365" max="4365" width="16.7109375" style="316" customWidth="1"/>
    <col min="4366" max="4366" width="35.7109375" style="316" customWidth="1"/>
    <col min="4367" max="4379" width="14.7109375" style="316" customWidth="1"/>
    <col min="4380" max="4620" width="9.140625" style="316"/>
    <col min="4621" max="4621" width="16.7109375" style="316" customWidth="1"/>
    <col min="4622" max="4622" width="35.7109375" style="316" customWidth="1"/>
    <col min="4623" max="4635" width="14.7109375" style="316" customWidth="1"/>
    <col min="4636" max="4876" width="9.140625" style="316"/>
    <col min="4877" max="4877" width="16.7109375" style="316" customWidth="1"/>
    <col min="4878" max="4878" width="35.7109375" style="316" customWidth="1"/>
    <col min="4879" max="4891" width="14.7109375" style="316" customWidth="1"/>
    <col min="4892" max="5132" width="9.140625" style="316"/>
    <col min="5133" max="5133" width="16.7109375" style="316" customWidth="1"/>
    <col min="5134" max="5134" width="35.7109375" style="316" customWidth="1"/>
    <col min="5135" max="5147" width="14.7109375" style="316" customWidth="1"/>
    <col min="5148" max="5388" width="9.140625" style="316"/>
    <col min="5389" max="5389" width="16.7109375" style="316" customWidth="1"/>
    <col min="5390" max="5390" width="35.7109375" style="316" customWidth="1"/>
    <col min="5391" max="5403" width="14.7109375" style="316" customWidth="1"/>
    <col min="5404" max="5644" width="9.140625" style="316"/>
    <col min="5645" max="5645" width="16.7109375" style="316" customWidth="1"/>
    <col min="5646" max="5646" width="35.7109375" style="316" customWidth="1"/>
    <col min="5647" max="5659" width="14.7109375" style="316" customWidth="1"/>
    <col min="5660" max="5900" width="9.140625" style="316"/>
    <col min="5901" max="5901" width="16.7109375" style="316" customWidth="1"/>
    <col min="5902" max="5902" width="35.7109375" style="316" customWidth="1"/>
    <col min="5903" max="5915" width="14.7109375" style="316" customWidth="1"/>
    <col min="5916" max="6156" width="9.140625" style="316"/>
    <col min="6157" max="6157" width="16.7109375" style="316" customWidth="1"/>
    <col min="6158" max="6158" width="35.7109375" style="316" customWidth="1"/>
    <col min="6159" max="6171" width="14.7109375" style="316" customWidth="1"/>
    <col min="6172" max="6412" width="9.140625" style="316"/>
    <col min="6413" max="6413" width="16.7109375" style="316" customWidth="1"/>
    <col min="6414" max="6414" width="35.7109375" style="316" customWidth="1"/>
    <col min="6415" max="6427" width="14.7109375" style="316" customWidth="1"/>
    <col min="6428" max="6668" width="9.140625" style="316"/>
    <col min="6669" max="6669" width="16.7109375" style="316" customWidth="1"/>
    <col min="6670" max="6670" width="35.7109375" style="316" customWidth="1"/>
    <col min="6671" max="6683" width="14.7109375" style="316" customWidth="1"/>
    <col min="6684" max="6924" width="9.140625" style="316"/>
    <col min="6925" max="6925" width="16.7109375" style="316" customWidth="1"/>
    <col min="6926" max="6926" width="35.7109375" style="316" customWidth="1"/>
    <col min="6927" max="6939" width="14.7109375" style="316" customWidth="1"/>
    <col min="6940" max="7180" width="9.140625" style="316"/>
    <col min="7181" max="7181" width="16.7109375" style="316" customWidth="1"/>
    <col min="7182" max="7182" width="35.7109375" style="316" customWidth="1"/>
    <col min="7183" max="7195" width="14.7109375" style="316" customWidth="1"/>
    <col min="7196" max="7436" width="9.140625" style="316"/>
    <col min="7437" max="7437" width="16.7109375" style="316" customWidth="1"/>
    <col min="7438" max="7438" width="35.7109375" style="316" customWidth="1"/>
    <col min="7439" max="7451" width="14.7109375" style="316" customWidth="1"/>
    <col min="7452" max="7692" width="9.140625" style="316"/>
    <col min="7693" max="7693" width="16.7109375" style="316" customWidth="1"/>
    <col min="7694" max="7694" width="35.7109375" style="316" customWidth="1"/>
    <col min="7695" max="7707" width="14.7109375" style="316" customWidth="1"/>
    <col min="7708" max="7948" width="9.140625" style="316"/>
    <col min="7949" max="7949" width="16.7109375" style="316" customWidth="1"/>
    <col min="7950" max="7950" width="35.7109375" style="316" customWidth="1"/>
    <col min="7951" max="7963" width="14.7109375" style="316" customWidth="1"/>
    <col min="7964" max="8204" width="9.140625" style="316"/>
    <col min="8205" max="8205" width="16.7109375" style="316" customWidth="1"/>
    <col min="8206" max="8206" width="35.7109375" style="316" customWidth="1"/>
    <col min="8207" max="8219" width="14.7109375" style="316" customWidth="1"/>
    <col min="8220" max="8460" width="9.140625" style="316"/>
    <col min="8461" max="8461" width="16.7109375" style="316" customWidth="1"/>
    <col min="8462" max="8462" width="35.7109375" style="316" customWidth="1"/>
    <col min="8463" max="8475" width="14.7109375" style="316" customWidth="1"/>
    <col min="8476" max="8716" width="9.140625" style="316"/>
    <col min="8717" max="8717" width="16.7109375" style="316" customWidth="1"/>
    <col min="8718" max="8718" width="35.7109375" style="316" customWidth="1"/>
    <col min="8719" max="8731" width="14.7109375" style="316" customWidth="1"/>
    <col min="8732" max="8972" width="9.140625" style="316"/>
    <col min="8973" max="8973" width="16.7109375" style="316" customWidth="1"/>
    <col min="8974" max="8974" width="35.7109375" style="316" customWidth="1"/>
    <col min="8975" max="8987" width="14.7109375" style="316" customWidth="1"/>
    <col min="8988" max="9228" width="9.140625" style="316"/>
    <col min="9229" max="9229" width="16.7109375" style="316" customWidth="1"/>
    <col min="9230" max="9230" width="35.7109375" style="316" customWidth="1"/>
    <col min="9231" max="9243" width="14.7109375" style="316" customWidth="1"/>
    <col min="9244" max="9484" width="9.140625" style="316"/>
    <col min="9485" max="9485" width="16.7109375" style="316" customWidth="1"/>
    <col min="9486" max="9486" width="35.7109375" style="316" customWidth="1"/>
    <col min="9487" max="9499" width="14.7109375" style="316" customWidth="1"/>
    <col min="9500" max="9740" width="9.140625" style="316"/>
    <col min="9741" max="9741" width="16.7109375" style="316" customWidth="1"/>
    <col min="9742" max="9742" width="35.7109375" style="316" customWidth="1"/>
    <col min="9743" max="9755" width="14.7109375" style="316" customWidth="1"/>
    <col min="9756" max="9996" width="9.140625" style="316"/>
    <col min="9997" max="9997" width="16.7109375" style="316" customWidth="1"/>
    <col min="9998" max="9998" width="35.7109375" style="316" customWidth="1"/>
    <col min="9999" max="10011" width="14.7109375" style="316" customWidth="1"/>
    <col min="10012" max="10252" width="9.140625" style="316"/>
    <col min="10253" max="10253" width="16.7109375" style="316" customWidth="1"/>
    <col min="10254" max="10254" width="35.7109375" style="316" customWidth="1"/>
    <col min="10255" max="10267" width="14.7109375" style="316" customWidth="1"/>
    <col min="10268" max="10508" width="9.140625" style="316"/>
    <col min="10509" max="10509" width="16.7109375" style="316" customWidth="1"/>
    <col min="10510" max="10510" width="35.7109375" style="316" customWidth="1"/>
    <col min="10511" max="10523" width="14.7109375" style="316" customWidth="1"/>
    <col min="10524" max="10764" width="9.140625" style="316"/>
    <col min="10765" max="10765" width="16.7109375" style="316" customWidth="1"/>
    <col min="10766" max="10766" width="35.7109375" style="316" customWidth="1"/>
    <col min="10767" max="10779" width="14.7109375" style="316" customWidth="1"/>
    <col min="10780" max="11020" width="9.140625" style="316"/>
    <col min="11021" max="11021" width="16.7109375" style="316" customWidth="1"/>
    <col min="11022" max="11022" width="35.7109375" style="316" customWidth="1"/>
    <col min="11023" max="11035" width="14.7109375" style="316" customWidth="1"/>
    <col min="11036" max="11276" width="9.140625" style="316"/>
    <col min="11277" max="11277" width="16.7109375" style="316" customWidth="1"/>
    <col min="11278" max="11278" width="35.7109375" style="316" customWidth="1"/>
    <col min="11279" max="11291" width="14.7109375" style="316" customWidth="1"/>
    <col min="11292" max="11532" width="9.140625" style="316"/>
    <col min="11533" max="11533" width="16.7109375" style="316" customWidth="1"/>
    <col min="11534" max="11534" width="35.7109375" style="316" customWidth="1"/>
    <col min="11535" max="11547" width="14.7109375" style="316" customWidth="1"/>
    <col min="11548" max="11788" width="9.140625" style="316"/>
    <col min="11789" max="11789" width="16.7109375" style="316" customWidth="1"/>
    <col min="11790" max="11790" width="35.7109375" style="316" customWidth="1"/>
    <col min="11791" max="11803" width="14.7109375" style="316" customWidth="1"/>
    <col min="11804" max="12044" width="9.140625" style="316"/>
    <col min="12045" max="12045" width="16.7109375" style="316" customWidth="1"/>
    <col min="12046" max="12046" width="35.7109375" style="316" customWidth="1"/>
    <col min="12047" max="12059" width="14.7109375" style="316" customWidth="1"/>
    <col min="12060" max="12300" width="9.140625" style="316"/>
    <col min="12301" max="12301" width="16.7109375" style="316" customWidth="1"/>
    <col min="12302" max="12302" width="35.7109375" style="316" customWidth="1"/>
    <col min="12303" max="12315" width="14.7109375" style="316" customWidth="1"/>
    <col min="12316" max="12556" width="9.140625" style="316"/>
    <col min="12557" max="12557" width="16.7109375" style="316" customWidth="1"/>
    <col min="12558" max="12558" width="35.7109375" style="316" customWidth="1"/>
    <col min="12559" max="12571" width="14.7109375" style="316" customWidth="1"/>
    <col min="12572" max="12812" width="9.140625" style="316"/>
    <col min="12813" max="12813" width="16.7109375" style="316" customWidth="1"/>
    <col min="12814" max="12814" width="35.7109375" style="316" customWidth="1"/>
    <col min="12815" max="12827" width="14.7109375" style="316" customWidth="1"/>
    <col min="12828" max="13068" width="9.140625" style="316"/>
    <col min="13069" max="13069" width="16.7109375" style="316" customWidth="1"/>
    <col min="13070" max="13070" width="35.7109375" style="316" customWidth="1"/>
    <col min="13071" max="13083" width="14.7109375" style="316" customWidth="1"/>
    <col min="13084" max="13324" width="9.140625" style="316"/>
    <col min="13325" max="13325" width="16.7109375" style="316" customWidth="1"/>
    <col min="13326" max="13326" width="35.7109375" style="316" customWidth="1"/>
    <col min="13327" max="13339" width="14.7109375" style="316" customWidth="1"/>
    <col min="13340" max="13580" width="9.140625" style="316"/>
    <col min="13581" max="13581" width="16.7109375" style="316" customWidth="1"/>
    <col min="13582" max="13582" width="35.7109375" style="316" customWidth="1"/>
    <col min="13583" max="13595" width="14.7109375" style="316" customWidth="1"/>
    <col min="13596" max="13836" width="9.140625" style="316"/>
    <col min="13837" max="13837" width="16.7109375" style="316" customWidth="1"/>
    <col min="13838" max="13838" width="35.7109375" style="316" customWidth="1"/>
    <col min="13839" max="13851" width="14.7109375" style="316" customWidth="1"/>
    <col min="13852" max="14092" width="9.140625" style="316"/>
    <col min="14093" max="14093" width="16.7109375" style="316" customWidth="1"/>
    <col min="14094" max="14094" width="35.7109375" style="316" customWidth="1"/>
    <col min="14095" max="14107" width="14.7109375" style="316" customWidth="1"/>
    <col min="14108" max="14348" width="9.140625" style="316"/>
    <col min="14349" max="14349" width="16.7109375" style="316" customWidth="1"/>
    <col min="14350" max="14350" width="35.7109375" style="316" customWidth="1"/>
    <col min="14351" max="14363" width="14.7109375" style="316" customWidth="1"/>
    <col min="14364" max="14604" width="9.140625" style="316"/>
    <col min="14605" max="14605" width="16.7109375" style="316" customWidth="1"/>
    <col min="14606" max="14606" width="35.7109375" style="316" customWidth="1"/>
    <col min="14607" max="14619" width="14.7109375" style="316" customWidth="1"/>
    <col min="14620" max="14860" width="9.140625" style="316"/>
    <col min="14861" max="14861" width="16.7109375" style="316" customWidth="1"/>
    <col min="14862" max="14862" width="35.7109375" style="316" customWidth="1"/>
    <col min="14863" max="14875" width="14.7109375" style="316" customWidth="1"/>
    <col min="14876" max="15116" width="9.140625" style="316"/>
    <col min="15117" max="15117" width="16.7109375" style="316" customWidth="1"/>
    <col min="15118" max="15118" width="35.7109375" style="316" customWidth="1"/>
    <col min="15119" max="15131" width="14.7109375" style="316" customWidth="1"/>
    <col min="15132" max="15372" width="9.140625" style="316"/>
    <col min="15373" max="15373" width="16.7109375" style="316" customWidth="1"/>
    <col min="15374" max="15374" width="35.7109375" style="316" customWidth="1"/>
    <col min="15375" max="15387" width="14.7109375" style="316" customWidth="1"/>
    <col min="15388" max="15628" width="9.140625" style="316"/>
    <col min="15629" max="15629" width="16.7109375" style="316" customWidth="1"/>
    <col min="15630" max="15630" width="35.7109375" style="316" customWidth="1"/>
    <col min="15631" max="15643" width="14.7109375" style="316" customWidth="1"/>
    <col min="15644" max="15884" width="9.140625" style="316"/>
    <col min="15885" max="15885" width="16.7109375" style="316" customWidth="1"/>
    <col min="15886" max="15886" width="35.7109375" style="316" customWidth="1"/>
    <col min="15887" max="15899" width="14.7109375" style="316" customWidth="1"/>
    <col min="15900" max="16140" width="9.140625" style="316"/>
    <col min="16141" max="16141" width="16.7109375" style="316" customWidth="1"/>
    <col min="16142" max="16142" width="35.7109375" style="316" customWidth="1"/>
    <col min="16143" max="16155" width="14.7109375" style="316" customWidth="1"/>
    <col min="16156" max="16384" width="9.140625" style="316"/>
  </cols>
  <sheetData>
    <row r="1" spans="1:34" ht="45" customHeight="1" thickBot="1">
      <c r="A1" s="587" t="s">
        <v>97</v>
      </c>
      <c r="B1" s="588"/>
      <c r="C1" s="588"/>
      <c r="D1" s="588"/>
      <c r="E1" s="588"/>
      <c r="F1" s="588"/>
      <c r="G1" s="588"/>
      <c r="H1" s="588"/>
      <c r="I1" s="588"/>
      <c r="J1" s="588"/>
      <c r="K1" s="588"/>
      <c r="L1" s="588"/>
      <c r="M1" s="588"/>
      <c r="N1" s="588"/>
      <c r="O1" s="588"/>
      <c r="P1" s="588"/>
      <c r="Q1" s="588"/>
      <c r="R1" s="588"/>
      <c r="S1" s="588"/>
      <c r="T1" s="588"/>
      <c r="U1" s="588"/>
      <c r="V1" s="588"/>
      <c r="W1" s="588"/>
      <c r="X1" s="588"/>
      <c r="Y1" s="588"/>
      <c r="Z1" s="589"/>
      <c r="AA1" s="587" t="s">
        <v>274</v>
      </c>
      <c r="AB1" s="589"/>
    </row>
    <row r="2" spans="1:34" s="317" customFormat="1" ht="39.75" customHeight="1">
      <c r="A2" s="592" t="s">
        <v>98</v>
      </c>
      <c r="B2" s="594" t="s">
        <v>99</v>
      </c>
      <c r="C2" s="592" t="s">
        <v>100</v>
      </c>
      <c r="D2" s="592"/>
      <c r="E2" s="585" t="s">
        <v>101</v>
      </c>
      <c r="F2" s="585"/>
      <c r="G2" s="585" t="s">
        <v>102</v>
      </c>
      <c r="H2" s="585"/>
      <c r="I2" s="585" t="s">
        <v>103</v>
      </c>
      <c r="J2" s="585"/>
      <c r="K2" s="585" t="s">
        <v>104</v>
      </c>
      <c r="L2" s="585"/>
      <c r="M2" s="585" t="s">
        <v>105</v>
      </c>
      <c r="N2" s="585"/>
      <c r="O2" s="585" t="s">
        <v>106</v>
      </c>
      <c r="P2" s="585"/>
      <c r="Q2" s="585" t="s">
        <v>107</v>
      </c>
      <c r="R2" s="585"/>
      <c r="S2" s="585" t="s">
        <v>108</v>
      </c>
      <c r="T2" s="585"/>
      <c r="U2" s="585" t="s">
        <v>109</v>
      </c>
      <c r="V2" s="585"/>
      <c r="W2" s="585" t="s">
        <v>110</v>
      </c>
      <c r="X2" s="585"/>
      <c r="Y2" s="585" t="s">
        <v>111</v>
      </c>
      <c r="Z2" s="586"/>
      <c r="AA2" s="590" t="s">
        <v>23</v>
      </c>
      <c r="AB2" s="591"/>
    </row>
    <row r="3" spans="1:34" s="317" customFormat="1" ht="69" customHeight="1">
      <c r="A3" s="593"/>
      <c r="B3" s="595"/>
      <c r="C3" s="318" t="s">
        <v>112</v>
      </c>
      <c r="D3" s="318" t="s">
        <v>113</v>
      </c>
      <c r="E3" s="318" t="s">
        <v>112</v>
      </c>
      <c r="F3" s="318" t="s">
        <v>113</v>
      </c>
      <c r="G3" s="318" t="s">
        <v>112</v>
      </c>
      <c r="H3" s="318" t="s">
        <v>113</v>
      </c>
      <c r="I3" s="318" t="s">
        <v>112</v>
      </c>
      <c r="J3" s="318" t="s">
        <v>113</v>
      </c>
      <c r="K3" s="318" t="s">
        <v>112</v>
      </c>
      <c r="L3" s="318" t="s">
        <v>113</v>
      </c>
      <c r="M3" s="318" t="s">
        <v>112</v>
      </c>
      <c r="N3" s="318" t="s">
        <v>113</v>
      </c>
      <c r="O3" s="318" t="s">
        <v>112</v>
      </c>
      <c r="P3" s="318" t="s">
        <v>113</v>
      </c>
      <c r="Q3" s="318" t="s">
        <v>112</v>
      </c>
      <c r="R3" s="318" t="s">
        <v>113</v>
      </c>
      <c r="S3" s="318" t="s">
        <v>112</v>
      </c>
      <c r="T3" s="318" t="s">
        <v>113</v>
      </c>
      <c r="U3" s="318" t="s">
        <v>112</v>
      </c>
      <c r="V3" s="318" t="s">
        <v>113</v>
      </c>
      <c r="W3" s="318" t="s">
        <v>112</v>
      </c>
      <c r="X3" s="318" t="s">
        <v>113</v>
      </c>
      <c r="Y3" s="318" t="s">
        <v>112</v>
      </c>
      <c r="Z3" s="319" t="s">
        <v>113</v>
      </c>
      <c r="AA3" s="320" t="s">
        <v>114</v>
      </c>
      <c r="AB3" s="321" t="s">
        <v>115</v>
      </c>
    </row>
    <row r="4" spans="1:34" ht="39.950000000000003" customHeight="1">
      <c r="A4" s="322">
        <v>11</v>
      </c>
      <c r="B4" s="323" t="s">
        <v>116</v>
      </c>
      <c r="C4" s="324">
        <v>2</v>
      </c>
      <c r="D4" s="324">
        <v>6</v>
      </c>
      <c r="E4" s="324">
        <v>2</v>
      </c>
      <c r="F4" s="324">
        <v>7</v>
      </c>
      <c r="G4" s="324">
        <v>1</v>
      </c>
      <c r="H4" s="324">
        <v>2</v>
      </c>
      <c r="I4" s="324">
        <v>7</v>
      </c>
      <c r="J4" s="324"/>
      <c r="K4" s="324"/>
      <c r="L4" s="324"/>
      <c r="M4" s="324">
        <v>7</v>
      </c>
      <c r="N4" s="324">
        <v>52</v>
      </c>
      <c r="O4" s="324">
        <v>9</v>
      </c>
      <c r="P4" s="324">
        <v>25</v>
      </c>
      <c r="Q4" s="324">
        <v>2</v>
      </c>
      <c r="R4" s="324">
        <v>7</v>
      </c>
      <c r="S4" s="324"/>
      <c r="T4" s="324">
        <v>1</v>
      </c>
      <c r="U4" s="324">
        <v>1</v>
      </c>
      <c r="V4" s="324">
        <v>3</v>
      </c>
      <c r="W4" s="324"/>
      <c r="X4" s="324"/>
      <c r="Y4" s="324"/>
      <c r="Z4" s="325"/>
      <c r="AA4" s="326">
        <f>C4+E4+G4+I4+K4+M4+O4+Q4+S4+U4+W4+Y4</f>
        <v>31</v>
      </c>
      <c r="AB4" s="327">
        <f>D4+F4+H4+J4+L4+N4+P4+R4+T4+V4+X4+Z4</f>
        <v>103</v>
      </c>
    </row>
    <row r="5" spans="1:34" ht="39.950000000000003" customHeight="1">
      <c r="A5" s="322">
        <v>12</v>
      </c>
      <c r="B5" s="328" t="s">
        <v>117</v>
      </c>
      <c r="C5" s="324"/>
      <c r="D5" s="324"/>
      <c r="E5" s="324">
        <v>1</v>
      </c>
      <c r="F5" s="324"/>
      <c r="G5" s="329">
        <v>49</v>
      </c>
      <c r="H5" s="329">
        <v>1</v>
      </c>
      <c r="I5" s="324">
        <v>25</v>
      </c>
      <c r="J5" s="324"/>
      <c r="K5" s="324"/>
      <c r="L5" s="324"/>
      <c r="M5" s="324"/>
      <c r="N5" s="324"/>
      <c r="O5" s="324"/>
      <c r="P5" s="324"/>
      <c r="Q5" s="324"/>
      <c r="R5" s="324"/>
      <c r="S5" s="324">
        <v>29</v>
      </c>
      <c r="T5" s="324">
        <v>1</v>
      </c>
      <c r="U5" s="324">
        <v>39</v>
      </c>
      <c r="V5" s="324">
        <v>1</v>
      </c>
      <c r="W5" s="324">
        <v>9</v>
      </c>
      <c r="X5" s="324"/>
      <c r="Y5" s="324"/>
      <c r="Z5" s="325"/>
      <c r="AA5" s="326">
        <f t="shared" ref="AA5:AB22" si="0">C5+E5+G5+I5+K5+M5+O5+Q5+S5+U5+W5+Y5</f>
        <v>152</v>
      </c>
      <c r="AB5" s="327">
        <f t="shared" si="0"/>
        <v>3</v>
      </c>
    </row>
    <row r="6" spans="1:34" ht="39.950000000000003" customHeight="1">
      <c r="A6" s="322">
        <v>16</v>
      </c>
      <c r="B6" s="330" t="s">
        <v>118</v>
      </c>
      <c r="C6" s="324"/>
      <c r="D6" s="324"/>
      <c r="E6" s="324"/>
      <c r="F6" s="324"/>
      <c r="G6" s="324"/>
      <c r="H6" s="324"/>
      <c r="I6" s="324">
        <v>6</v>
      </c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>
        <v>19</v>
      </c>
      <c r="V6" s="324"/>
      <c r="W6" s="324">
        <v>4</v>
      </c>
      <c r="X6" s="324"/>
      <c r="Y6" s="324"/>
      <c r="Z6" s="325"/>
      <c r="AA6" s="326">
        <f t="shared" si="0"/>
        <v>29</v>
      </c>
      <c r="AB6" s="327">
        <f t="shared" si="0"/>
        <v>0</v>
      </c>
    </row>
    <row r="7" spans="1:34" ht="39.950000000000003" customHeight="1">
      <c r="A7" s="322">
        <v>20</v>
      </c>
      <c r="B7" s="328" t="s">
        <v>119</v>
      </c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>
        <v>38</v>
      </c>
      <c r="V7" s="324"/>
      <c r="W7" s="324">
        <v>2</v>
      </c>
      <c r="X7" s="324"/>
      <c r="Y7" s="324"/>
      <c r="Z7" s="325"/>
      <c r="AA7" s="326">
        <f t="shared" si="0"/>
        <v>40</v>
      </c>
      <c r="AB7" s="327">
        <f t="shared" si="0"/>
        <v>0</v>
      </c>
    </row>
    <row r="8" spans="1:34" ht="39.950000000000003" customHeight="1">
      <c r="A8" s="322">
        <v>149</v>
      </c>
      <c r="B8" s="328" t="s">
        <v>120</v>
      </c>
      <c r="C8" s="324"/>
      <c r="D8" s="324"/>
      <c r="E8" s="324"/>
      <c r="F8" s="324"/>
      <c r="G8" s="324"/>
      <c r="H8" s="324"/>
      <c r="I8" s="324"/>
      <c r="J8" s="324"/>
      <c r="K8" s="324"/>
      <c r="L8" s="324"/>
      <c r="M8" s="324">
        <v>9</v>
      </c>
      <c r="N8" s="324"/>
      <c r="O8" s="324"/>
      <c r="P8" s="324"/>
      <c r="Q8" s="324"/>
      <c r="R8" s="324"/>
      <c r="S8" s="324"/>
      <c r="T8" s="324"/>
      <c r="U8" s="324"/>
      <c r="V8" s="324"/>
      <c r="W8" s="324"/>
      <c r="X8" s="324"/>
      <c r="Y8" s="324"/>
      <c r="Z8" s="325"/>
      <c r="AA8" s="326">
        <f t="shared" si="0"/>
        <v>9</v>
      </c>
      <c r="AB8" s="327">
        <f t="shared" si="0"/>
        <v>0</v>
      </c>
    </row>
    <row r="9" spans="1:34" ht="39.950000000000003" customHeight="1">
      <c r="A9" s="322">
        <v>26</v>
      </c>
      <c r="B9" s="328" t="s">
        <v>121</v>
      </c>
      <c r="C9" s="324"/>
      <c r="D9" s="324"/>
      <c r="E9" s="324"/>
      <c r="F9" s="324"/>
      <c r="G9" s="324"/>
      <c r="H9" s="324"/>
      <c r="I9" s="324"/>
      <c r="J9" s="324"/>
      <c r="K9" s="324">
        <v>14</v>
      </c>
      <c r="L9" s="324"/>
      <c r="M9" s="324"/>
      <c r="N9" s="324"/>
      <c r="O9" s="324"/>
      <c r="P9" s="324"/>
      <c r="Q9" s="324"/>
      <c r="R9" s="324"/>
      <c r="S9" s="324"/>
      <c r="T9" s="324"/>
      <c r="U9" s="324">
        <v>8</v>
      </c>
      <c r="V9" s="324"/>
      <c r="W9" s="324">
        <v>21</v>
      </c>
      <c r="X9" s="324"/>
      <c r="Y9" s="324"/>
      <c r="Z9" s="325"/>
      <c r="AA9" s="326">
        <f t="shared" si="0"/>
        <v>43</v>
      </c>
      <c r="AB9" s="327">
        <f t="shared" si="0"/>
        <v>0</v>
      </c>
    </row>
    <row r="10" spans="1:34" ht="39.950000000000003" customHeight="1">
      <c r="A10" s="322">
        <v>28</v>
      </c>
      <c r="B10" s="328" t="s">
        <v>122</v>
      </c>
      <c r="C10" s="324"/>
      <c r="D10" s="324"/>
      <c r="E10" s="324"/>
      <c r="F10" s="324"/>
      <c r="G10" s="324">
        <v>6</v>
      </c>
      <c r="H10" s="324"/>
      <c r="I10" s="324"/>
      <c r="J10" s="324"/>
      <c r="K10" s="324">
        <v>30</v>
      </c>
      <c r="L10" s="324">
        <v>1</v>
      </c>
      <c r="M10" s="324"/>
      <c r="N10" s="324"/>
      <c r="O10" s="324"/>
      <c r="P10" s="324"/>
      <c r="Q10" s="324"/>
      <c r="R10" s="324"/>
      <c r="S10" s="324"/>
      <c r="T10" s="324"/>
      <c r="U10" s="324"/>
      <c r="V10" s="324"/>
      <c r="W10" s="324"/>
      <c r="X10" s="324"/>
      <c r="Y10" s="324">
        <v>30</v>
      </c>
      <c r="Z10" s="325"/>
      <c r="AA10" s="326">
        <f t="shared" si="0"/>
        <v>66</v>
      </c>
      <c r="AB10" s="327">
        <f t="shared" si="0"/>
        <v>1</v>
      </c>
    </row>
    <row r="11" spans="1:34" ht="39.950000000000003" customHeight="1">
      <c r="A11" s="322">
        <v>30</v>
      </c>
      <c r="B11" s="330" t="s">
        <v>123</v>
      </c>
      <c r="C11" s="324"/>
      <c r="D11" s="324"/>
      <c r="E11" s="324">
        <v>19</v>
      </c>
      <c r="F11" s="324">
        <v>2</v>
      </c>
      <c r="G11" s="324"/>
      <c r="H11" s="324"/>
      <c r="I11" s="324">
        <v>10</v>
      </c>
      <c r="J11" s="324">
        <v>1</v>
      </c>
      <c r="K11" s="324"/>
      <c r="L11" s="324"/>
      <c r="M11" s="324"/>
      <c r="N11" s="324"/>
      <c r="O11" s="324"/>
      <c r="P11" s="324"/>
      <c r="Q11" s="324"/>
      <c r="R11" s="324"/>
      <c r="S11" s="324">
        <v>16</v>
      </c>
      <c r="T11" s="324"/>
      <c r="U11" s="324">
        <v>1</v>
      </c>
      <c r="V11" s="324"/>
      <c r="W11" s="324"/>
      <c r="X11" s="324"/>
      <c r="Y11" s="324"/>
      <c r="Z11" s="325"/>
      <c r="AA11" s="326">
        <f t="shared" si="0"/>
        <v>46</v>
      </c>
      <c r="AB11" s="327">
        <f t="shared" si="0"/>
        <v>3</v>
      </c>
      <c r="AH11" s="331"/>
    </row>
    <row r="12" spans="1:34" ht="39.950000000000003" customHeight="1">
      <c r="A12" s="322">
        <v>40</v>
      </c>
      <c r="B12" s="328" t="s">
        <v>124</v>
      </c>
      <c r="C12" s="324"/>
      <c r="D12" s="324"/>
      <c r="E12" s="324"/>
      <c r="F12" s="324"/>
      <c r="G12" s="329"/>
      <c r="H12" s="329"/>
      <c r="I12" s="324">
        <v>4</v>
      </c>
      <c r="J12" s="324"/>
      <c r="K12" s="324">
        <v>5</v>
      </c>
      <c r="L12" s="324"/>
      <c r="M12" s="324"/>
      <c r="N12" s="324"/>
      <c r="O12" s="324"/>
      <c r="P12" s="324"/>
      <c r="Q12" s="324"/>
      <c r="R12" s="324"/>
      <c r="S12" s="324"/>
      <c r="T12" s="324"/>
      <c r="U12" s="324"/>
      <c r="V12" s="324"/>
      <c r="W12" s="324"/>
      <c r="X12" s="324"/>
      <c r="Y12" s="324"/>
      <c r="Z12" s="325"/>
      <c r="AA12" s="326">
        <f t="shared" si="0"/>
        <v>9</v>
      </c>
      <c r="AB12" s="327">
        <f t="shared" si="0"/>
        <v>0</v>
      </c>
    </row>
    <row r="13" spans="1:34" ht="39.950000000000003" customHeight="1">
      <c r="A13" s="322">
        <v>41</v>
      </c>
      <c r="B13" s="328" t="s">
        <v>125</v>
      </c>
      <c r="C13" s="324"/>
      <c r="D13" s="324"/>
      <c r="E13" s="324"/>
      <c r="F13" s="324"/>
      <c r="G13" s="329"/>
      <c r="H13" s="329"/>
      <c r="I13" s="324">
        <v>9</v>
      </c>
      <c r="J13" s="324">
        <v>1</v>
      </c>
      <c r="K13" s="324">
        <v>4</v>
      </c>
      <c r="L13" s="324"/>
      <c r="M13" s="324"/>
      <c r="N13" s="324"/>
      <c r="O13" s="324"/>
      <c r="P13" s="324"/>
      <c r="Q13" s="324">
        <v>1</v>
      </c>
      <c r="R13" s="324"/>
      <c r="S13" s="324"/>
      <c r="T13" s="324"/>
      <c r="U13" s="324"/>
      <c r="V13" s="324"/>
      <c r="W13" s="324"/>
      <c r="X13" s="324"/>
      <c r="Y13" s="324"/>
      <c r="Z13" s="325"/>
      <c r="AA13" s="326">
        <f t="shared" si="0"/>
        <v>14</v>
      </c>
      <c r="AB13" s="327">
        <f t="shared" si="0"/>
        <v>1</v>
      </c>
    </row>
    <row r="14" spans="1:34" ht="39.950000000000003" customHeight="1">
      <c r="A14" s="323">
        <v>44</v>
      </c>
      <c r="B14" s="328" t="s">
        <v>126</v>
      </c>
      <c r="C14" s="324"/>
      <c r="D14" s="324"/>
      <c r="E14" s="324">
        <v>86</v>
      </c>
      <c r="F14" s="324">
        <v>2</v>
      </c>
      <c r="G14" s="329">
        <v>60</v>
      </c>
      <c r="H14" s="329">
        <v>1</v>
      </c>
      <c r="I14" s="324"/>
      <c r="J14" s="324"/>
      <c r="K14" s="324"/>
      <c r="L14" s="324"/>
      <c r="M14" s="324"/>
      <c r="N14" s="324"/>
      <c r="O14" s="324">
        <v>23</v>
      </c>
      <c r="P14" s="324">
        <v>2</v>
      </c>
      <c r="Q14" s="324">
        <v>28</v>
      </c>
      <c r="R14" s="324"/>
      <c r="S14" s="324">
        <v>94</v>
      </c>
      <c r="T14" s="324">
        <v>1</v>
      </c>
      <c r="U14" s="324">
        <v>5</v>
      </c>
      <c r="V14" s="324">
        <v>2</v>
      </c>
      <c r="W14" s="324"/>
      <c r="X14" s="324"/>
      <c r="Y14" s="324"/>
      <c r="Z14" s="325"/>
      <c r="AA14" s="326">
        <f t="shared" si="0"/>
        <v>296</v>
      </c>
      <c r="AB14" s="327">
        <f t="shared" si="0"/>
        <v>8</v>
      </c>
    </row>
    <row r="15" spans="1:34" ht="39.950000000000003" customHeight="1">
      <c r="A15" s="322">
        <v>55</v>
      </c>
      <c r="B15" s="328" t="s">
        <v>127</v>
      </c>
      <c r="C15" s="324"/>
      <c r="D15" s="324"/>
      <c r="E15" s="324"/>
      <c r="F15" s="324"/>
      <c r="G15" s="324"/>
      <c r="H15" s="324"/>
      <c r="I15" s="324">
        <v>34</v>
      </c>
      <c r="J15" s="324">
        <v>1</v>
      </c>
      <c r="K15" s="324">
        <v>23</v>
      </c>
      <c r="L15" s="324">
        <v>1</v>
      </c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5"/>
      <c r="AA15" s="326">
        <f t="shared" si="0"/>
        <v>57</v>
      </c>
      <c r="AB15" s="327">
        <f t="shared" si="0"/>
        <v>2</v>
      </c>
    </row>
    <row r="16" spans="1:34" ht="39.950000000000003" customHeight="1">
      <c r="A16" s="322">
        <v>56</v>
      </c>
      <c r="B16" s="328" t="s">
        <v>128</v>
      </c>
      <c r="C16" s="324"/>
      <c r="D16" s="324"/>
      <c r="E16" s="324"/>
      <c r="F16" s="324"/>
      <c r="G16" s="324"/>
      <c r="H16" s="324"/>
      <c r="I16" s="324">
        <v>16</v>
      </c>
      <c r="J16" s="324"/>
      <c r="K16" s="324"/>
      <c r="L16" s="324"/>
      <c r="M16" s="324"/>
      <c r="N16" s="324"/>
      <c r="O16" s="324"/>
      <c r="P16" s="324"/>
      <c r="Q16" s="324"/>
      <c r="R16" s="324"/>
      <c r="S16" s="324"/>
      <c r="T16" s="324"/>
      <c r="U16" s="324"/>
      <c r="V16" s="324"/>
      <c r="W16" s="324">
        <v>2</v>
      </c>
      <c r="X16" s="324"/>
      <c r="Y16" s="324"/>
      <c r="Z16" s="325"/>
      <c r="AA16" s="326">
        <f t="shared" si="0"/>
        <v>18</v>
      </c>
      <c r="AB16" s="327">
        <f t="shared" si="0"/>
        <v>0</v>
      </c>
    </row>
    <row r="17" spans="1:28" ht="39.950000000000003" customHeight="1">
      <c r="A17" s="323">
        <v>57</v>
      </c>
      <c r="B17" s="328" t="s">
        <v>129</v>
      </c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5"/>
      <c r="AA17" s="326">
        <f t="shared" si="0"/>
        <v>0</v>
      </c>
      <c r="AB17" s="327">
        <f t="shared" si="0"/>
        <v>0</v>
      </c>
    </row>
    <row r="18" spans="1:28" ht="39.950000000000003" customHeight="1">
      <c r="A18" s="322">
        <v>61</v>
      </c>
      <c r="B18" s="328" t="s">
        <v>130</v>
      </c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4"/>
      <c r="R18" s="324"/>
      <c r="S18" s="324">
        <v>3</v>
      </c>
      <c r="T18" s="324"/>
      <c r="U18" s="324">
        <v>16</v>
      </c>
      <c r="V18" s="324">
        <v>1</v>
      </c>
      <c r="W18" s="324"/>
      <c r="X18" s="324"/>
      <c r="Y18" s="324"/>
      <c r="Z18" s="325"/>
      <c r="AA18" s="326">
        <f t="shared" si="0"/>
        <v>19</v>
      </c>
      <c r="AB18" s="327">
        <f t="shared" si="0"/>
        <v>1</v>
      </c>
    </row>
    <row r="19" spans="1:28" ht="39.950000000000003" customHeight="1">
      <c r="A19" s="322">
        <v>74</v>
      </c>
      <c r="B19" s="328" t="s">
        <v>131</v>
      </c>
      <c r="C19" s="324"/>
      <c r="D19" s="324"/>
      <c r="E19" s="324">
        <v>5</v>
      </c>
      <c r="F19" s="324">
        <v>1</v>
      </c>
      <c r="G19" s="329"/>
      <c r="H19" s="329"/>
      <c r="I19" s="324"/>
      <c r="J19" s="324"/>
      <c r="K19" s="324"/>
      <c r="L19" s="324"/>
      <c r="M19" s="324"/>
      <c r="N19" s="324"/>
      <c r="O19" s="324"/>
      <c r="P19" s="324"/>
      <c r="Q19" s="324"/>
      <c r="R19" s="324"/>
      <c r="S19" s="324"/>
      <c r="T19" s="324"/>
      <c r="U19" s="324"/>
      <c r="V19" s="324"/>
      <c r="W19" s="324"/>
      <c r="X19" s="324"/>
      <c r="Y19" s="324"/>
      <c r="Z19" s="325"/>
      <c r="AA19" s="326">
        <f t="shared" si="0"/>
        <v>5</v>
      </c>
      <c r="AB19" s="327">
        <f t="shared" si="0"/>
        <v>1</v>
      </c>
    </row>
    <row r="20" spans="1:28" ht="39.950000000000003" customHeight="1">
      <c r="A20" s="322">
        <v>76</v>
      </c>
      <c r="B20" s="328" t="s">
        <v>132</v>
      </c>
      <c r="C20" s="324"/>
      <c r="D20" s="324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5"/>
      <c r="AA20" s="326">
        <f t="shared" si="0"/>
        <v>0</v>
      </c>
      <c r="AB20" s="327">
        <f t="shared" si="0"/>
        <v>0</v>
      </c>
    </row>
    <row r="21" spans="1:28" ht="39.950000000000003" customHeight="1">
      <c r="A21" s="322">
        <v>106</v>
      </c>
      <c r="B21" s="328" t="s">
        <v>133</v>
      </c>
      <c r="C21" s="324"/>
      <c r="D21" s="324"/>
      <c r="E21" s="324"/>
      <c r="F21" s="324"/>
      <c r="G21" s="324"/>
      <c r="H21" s="324"/>
      <c r="I21" s="324"/>
      <c r="J21" s="324"/>
      <c r="K21" s="324">
        <v>2</v>
      </c>
      <c r="L21" s="324"/>
      <c r="M21" s="324"/>
      <c r="N21" s="324"/>
      <c r="O21" s="324"/>
      <c r="P21" s="324"/>
      <c r="Q21" s="324"/>
      <c r="R21" s="324"/>
      <c r="S21" s="324"/>
      <c r="T21" s="324"/>
      <c r="U21" s="324"/>
      <c r="V21" s="324"/>
      <c r="W21" s="324"/>
      <c r="X21" s="324"/>
      <c r="Y21" s="324"/>
      <c r="Z21" s="325"/>
      <c r="AA21" s="326">
        <f t="shared" si="0"/>
        <v>2</v>
      </c>
      <c r="AB21" s="327">
        <f t="shared" si="0"/>
        <v>0</v>
      </c>
    </row>
    <row r="22" spans="1:28" ht="39.950000000000003" customHeight="1">
      <c r="A22" s="322">
        <v>118</v>
      </c>
      <c r="B22" s="328" t="s">
        <v>134</v>
      </c>
      <c r="C22" s="324"/>
      <c r="D22" s="324"/>
      <c r="E22" s="324"/>
      <c r="F22" s="324"/>
      <c r="G22" s="324"/>
      <c r="H22" s="324"/>
      <c r="I22" s="324"/>
      <c r="J22" s="324"/>
      <c r="K22" s="324">
        <v>5</v>
      </c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5"/>
      <c r="AA22" s="326">
        <f t="shared" si="0"/>
        <v>5</v>
      </c>
      <c r="AB22" s="327">
        <f t="shared" si="0"/>
        <v>0</v>
      </c>
    </row>
    <row r="23" spans="1:28" ht="39.950000000000003" customHeight="1">
      <c r="A23" s="322">
        <v>136</v>
      </c>
      <c r="B23" s="328" t="s">
        <v>135</v>
      </c>
      <c r="C23" s="324"/>
      <c r="D23" s="324"/>
      <c r="E23" s="324"/>
      <c r="F23" s="324"/>
      <c r="G23" s="324">
        <v>20</v>
      </c>
      <c r="H23" s="324"/>
      <c r="I23" s="324">
        <v>4</v>
      </c>
      <c r="J23" s="324"/>
      <c r="K23" s="324"/>
      <c r="L23" s="324"/>
      <c r="M23" s="324"/>
      <c r="N23" s="324"/>
      <c r="O23" s="324"/>
      <c r="P23" s="324"/>
      <c r="Q23" s="324"/>
      <c r="R23" s="324"/>
      <c r="S23" s="324"/>
      <c r="T23" s="324"/>
      <c r="U23" s="324"/>
      <c r="V23" s="324"/>
      <c r="W23" s="324"/>
      <c r="X23" s="324"/>
      <c r="Y23" s="324"/>
      <c r="Z23" s="325"/>
      <c r="AA23" s="326">
        <f>C23+E23+G23+I23+K23+M23+O23+Q23+S23+U23+W23+Y23</f>
        <v>24</v>
      </c>
      <c r="AB23" s="327">
        <f>D23+F23+H23+J23+L23+N23+P23+R23+T23+V23+X23+Z23</f>
        <v>0</v>
      </c>
    </row>
    <row r="24" spans="1:28" ht="39.950000000000003" customHeight="1" thickBot="1">
      <c r="A24" s="322">
        <v>147</v>
      </c>
      <c r="B24" s="332" t="s">
        <v>136</v>
      </c>
      <c r="C24" s="333"/>
      <c r="D24" s="333"/>
      <c r="E24" s="333"/>
      <c r="F24" s="333"/>
      <c r="G24" s="333"/>
      <c r="H24" s="333"/>
      <c r="I24" s="333"/>
      <c r="J24" s="333"/>
      <c r="K24" s="333"/>
      <c r="L24" s="333"/>
      <c r="M24" s="333"/>
      <c r="N24" s="333"/>
      <c r="O24" s="333"/>
      <c r="P24" s="333"/>
      <c r="Q24" s="333"/>
      <c r="R24" s="333"/>
      <c r="S24" s="333"/>
      <c r="T24" s="333"/>
      <c r="U24" s="333"/>
      <c r="V24" s="333"/>
      <c r="W24" s="333"/>
      <c r="X24" s="333"/>
      <c r="Y24" s="333"/>
      <c r="Z24" s="334"/>
      <c r="AA24" s="335">
        <f>C24+E24+G24+I24+K24+M24+O24+Q24+S24+U24+W24+Y24</f>
        <v>0</v>
      </c>
      <c r="AB24" s="336">
        <f>D24+F24+H24+J24+L24+N24+P24+R24+T24+V24+X24+Z24</f>
        <v>0</v>
      </c>
    </row>
    <row r="25" spans="1:28" ht="39.950000000000003" customHeight="1" thickBot="1">
      <c r="A25" s="337"/>
      <c r="B25" s="338" t="s">
        <v>137</v>
      </c>
      <c r="C25" s="339">
        <f>SUM(C4:C23)</f>
        <v>2</v>
      </c>
      <c r="D25" s="339">
        <f t="shared" ref="D25:Z25" si="1">SUM(D4:D23)</f>
        <v>6</v>
      </c>
      <c r="E25" s="339">
        <f t="shared" si="1"/>
        <v>113</v>
      </c>
      <c r="F25" s="339">
        <f t="shared" si="1"/>
        <v>12</v>
      </c>
      <c r="G25" s="339">
        <f t="shared" si="1"/>
        <v>136</v>
      </c>
      <c r="H25" s="339">
        <f t="shared" si="1"/>
        <v>4</v>
      </c>
      <c r="I25" s="339">
        <f t="shared" si="1"/>
        <v>115</v>
      </c>
      <c r="J25" s="339">
        <f t="shared" si="1"/>
        <v>3</v>
      </c>
      <c r="K25" s="339">
        <f t="shared" si="1"/>
        <v>83</v>
      </c>
      <c r="L25" s="339">
        <f t="shared" si="1"/>
        <v>2</v>
      </c>
      <c r="M25" s="339">
        <f t="shared" si="1"/>
        <v>16</v>
      </c>
      <c r="N25" s="339">
        <f t="shared" si="1"/>
        <v>52</v>
      </c>
      <c r="O25" s="339">
        <f t="shared" si="1"/>
        <v>32</v>
      </c>
      <c r="P25" s="339">
        <f t="shared" si="1"/>
        <v>27</v>
      </c>
      <c r="Q25" s="339">
        <f t="shared" si="1"/>
        <v>31</v>
      </c>
      <c r="R25" s="339">
        <f t="shared" si="1"/>
        <v>7</v>
      </c>
      <c r="S25" s="339">
        <f t="shared" si="1"/>
        <v>142</v>
      </c>
      <c r="T25" s="339">
        <f t="shared" si="1"/>
        <v>3</v>
      </c>
      <c r="U25" s="339">
        <f t="shared" si="1"/>
        <v>127</v>
      </c>
      <c r="V25" s="339">
        <f t="shared" si="1"/>
        <v>7</v>
      </c>
      <c r="W25" s="339">
        <f>SUM(W4:W24)</f>
        <v>38</v>
      </c>
      <c r="X25" s="339">
        <f t="shared" si="1"/>
        <v>0</v>
      </c>
      <c r="Y25" s="339">
        <f t="shared" si="1"/>
        <v>30</v>
      </c>
      <c r="Z25" s="340">
        <f t="shared" si="1"/>
        <v>0</v>
      </c>
      <c r="AA25" s="341">
        <f>SUM(AA4:AA24)</f>
        <v>865</v>
      </c>
      <c r="AB25" s="342">
        <f>SUM(AB4:AB24)</f>
        <v>123</v>
      </c>
    </row>
    <row r="26" spans="1:28">
      <c r="A26" s="343"/>
      <c r="B26" s="344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N26" s="343"/>
      <c r="O26" s="343"/>
      <c r="P26" s="343"/>
      <c r="Q26" s="343"/>
      <c r="R26" s="343"/>
    </row>
    <row r="27" spans="1:28">
      <c r="A27" s="343"/>
      <c r="B27" s="344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3"/>
      <c r="O27" s="343"/>
      <c r="P27" s="343"/>
      <c r="Q27" s="343"/>
      <c r="R27" s="343"/>
      <c r="Y27" s="343"/>
      <c r="Z27" s="343"/>
      <c r="AB27" s="343"/>
    </row>
    <row r="29" spans="1:28">
      <c r="AB29" s="343"/>
    </row>
  </sheetData>
  <mergeCells count="17">
    <mergeCell ref="U2:V2"/>
    <mergeCell ref="W2:X2"/>
    <mergeCell ref="Y2:Z2"/>
    <mergeCell ref="A1:Z1"/>
    <mergeCell ref="AA1:AB1"/>
    <mergeCell ref="AA2:AB2"/>
    <mergeCell ref="A2:A3"/>
    <mergeCell ref="B2:B3"/>
    <mergeCell ref="C2:D2"/>
    <mergeCell ref="E2:F2"/>
    <mergeCell ref="G2:H2"/>
    <mergeCell ref="I2:J2"/>
    <mergeCell ref="K2:L2"/>
    <mergeCell ref="M2:N2"/>
    <mergeCell ref="O2:P2"/>
    <mergeCell ref="Q2:R2"/>
    <mergeCell ref="S2:T2"/>
  </mergeCells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C1" sqref="C1"/>
    </sheetView>
  </sheetViews>
  <sheetFormatPr defaultRowHeight="15"/>
  <cols>
    <col min="1" max="1" width="12.42578125" style="347" customWidth="1"/>
    <col min="2" max="2" width="12.7109375" style="347" customWidth="1"/>
    <col min="3" max="3" width="20.7109375" style="347" customWidth="1"/>
    <col min="4" max="4" width="12.7109375" style="347" customWidth="1"/>
    <col min="5" max="5" width="20.7109375" style="347" customWidth="1"/>
    <col min="6" max="7" width="13.7109375" style="347" customWidth="1"/>
    <col min="8" max="9" width="9.140625" style="347"/>
    <col min="10" max="10" width="12.7109375" style="347" bestFit="1" customWidth="1"/>
    <col min="11" max="16384" width="9.140625" style="347"/>
  </cols>
  <sheetData>
    <row r="1" spans="1:10" ht="15.75" thickBot="1">
      <c r="A1" s="346" t="s">
        <v>64</v>
      </c>
      <c r="G1" s="530" t="s">
        <v>275</v>
      </c>
    </row>
    <row r="2" spans="1:10" ht="15.75" thickBot="1">
      <c r="A2" s="346"/>
    </row>
    <row r="3" spans="1:10" ht="27" thickBot="1">
      <c r="A3" s="596" t="s">
        <v>138</v>
      </c>
      <c r="B3" s="597"/>
      <c r="C3" s="597"/>
      <c r="D3" s="597"/>
      <c r="E3" s="597"/>
      <c r="F3" s="597"/>
      <c r="G3" s="598"/>
    </row>
    <row r="4" spans="1:10" ht="15.75" thickBot="1"/>
    <row r="5" spans="1:10" ht="60" customHeight="1">
      <c r="A5" s="599" t="s">
        <v>139</v>
      </c>
      <c r="B5" s="601" t="s">
        <v>140</v>
      </c>
      <c r="C5" s="602"/>
      <c r="D5" s="603" t="s">
        <v>141</v>
      </c>
      <c r="E5" s="604"/>
      <c r="F5" s="605" t="s">
        <v>142</v>
      </c>
      <c r="G5" s="607" t="s">
        <v>143</v>
      </c>
    </row>
    <row r="6" spans="1:10" ht="15.75" thickBot="1">
      <c r="A6" s="600"/>
      <c r="B6" s="348" t="s">
        <v>144</v>
      </c>
      <c r="C6" s="349" t="s">
        <v>145</v>
      </c>
      <c r="D6" s="348" t="s">
        <v>144</v>
      </c>
      <c r="E6" s="349" t="s">
        <v>145</v>
      </c>
      <c r="F6" s="606"/>
      <c r="G6" s="608"/>
    </row>
    <row r="7" spans="1:10" ht="21.95" customHeight="1">
      <c r="A7" s="350">
        <v>1</v>
      </c>
      <c r="B7" s="351">
        <f>12004+12004+12005</f>
        <v>36013</v>
      </c>
      <c r="C7" s="352">
        <f>56763.91+58249.41+61630.68</f>
        <v>176644</v>
      </c>
      <c r="D7" s="351">
        <f>12000</f>
        <v>12000</v>
      </c>
      <c r="E7" s="352">
        <v>43590</v>
      </c>
      <c r="F7" s="353">
        <f t="shared" ref="F7:G18" si="0">D7/B7*100</f>
        <v>33.321300641435037</v>
      </c>
      <c r="G7" s="354">
        <f>E7/C7*100</f>
        <v>24.676750979370937</v>
      </c>
    </row>
    <row r="8" spans="1:10" ht="21.95" customHeight="1">
      <c r="A8" s="355">
        <v>2</v>
      </c>
      <c r="B8" s="356">
        <f>12004+12002</f>
        <v>24006</v>
      </c>
      <c r="C8" s="357">
        <f>52052.34+54279.05</f>
        <v>106331.39</v>
      </c>
      <c r="D8" s="356">
        <f>12001+12005+12006</f>
        <v>36012</v>
      </c>
      <c r="E8" s="357">
        <f>45543.79+48800.34+46823.4</f>
        <v>141167.53</v>
      </c>
      <c r="F8" s="358">
        <f t="shared" si="0"/>
        <v>150.01249687578107</v>
      </c>
      <c r="G8" s="359">
        <f t="shared" si="0"/>
        <v>132.76185893930287</v>
      </c>
    </row>
    <row r="9" spans="1:10" ht="21.95" customHeight="1">
      <c r="A9" s="355">
        <v>3</v>
      </c>
      <c r="B9" s="356">
        <f>12002+12003</f>
        <v>24005</v>
      </c>
      <c r="C9" s="357">
        <f>39591.6+34808.7</f>
        <v>74400.299999999988</v>
      </c>
      <c r="D9" s="356">
        <f>12004+12003</f>
        <v>24007</v>
      </c>
      <c r="E9" s="357">
        <f>51317.1+51312.83</f>
        <v>102629.93</v>
      </c>
      <c r="F9" s="358">
        <f t="shared" si="0"/>
        <v>100.00833159758385</v>
      </c>
      <c r="G9" s="359">
        <f t="shared" si="0"/>
        <v>137.94289807971205</v>
      </c>
    </row>
    <row r="10" spans="1:10" ht="21.95" customHeight="1">
      <c r="A10" s="355">
        <v>4</v>
      </c>
      <c r="B10" s="356">
        <v>0</v>
      </c>
      <c r="C10" s="357">
        <v>0</v>
      </c>
      <c r="D10" s="356">
        <f>12002+12003</f>
        <v>24005</v>
      </c>
      <c r="E10" s="357">
        <f>50123.36+50997.75</f>
        <v>101121.11</v>
      </c>
      <c r="F10" s="358"/>
      <c r="G10" s="359"/>
    </row>
    <row r="11" spans="1:10" ht="21.95" customHeight="1">
      <c r="A11" s="355">
        <v>5</v>
      </c>
      <c r="B11" s="356">
        <v>12002</v>
      </c>
      <c r="C11" s="357">
        <v>28579.759999999998</v>
      </c>
      <c r="D11" s="356">
        <v>12002</v>
      </c>
      <c r="E11" s="357">
        <v>52898.83</v>
      </c>
      <c r="F11" s="358">
        <f t="shared" si="0"/>
        <v>100</v>
      </c>
      <c r="G11" s="359">
        <f t="shared" si="0"/>
        <v>185.09193219257267</v>
      </c>
    </row>
    <row r="12" spans="1:10" ht="21.95" customHeight="1">
      <c r="A12" s="355">
        <v>6</v>
      </c>
      <c r="B12" s="356">
        <v>11999</v>
      </c>
      <c r="C12" s="357">
        <v>37451.89</v>
      </c>
      <c r="D12" s="356">
        <v>0</v>
      </c>
      <c r="E12" s="357">
        <v>0</v>
      </c>
      <c r="F12" s="358"/>
      <c r="G12" s="359"/>
    </row>
    <row r="13" spans="1:10" ht="21.95" customHeight="1">
      <c r="A13" s="355">
        <v>7</v>
      </c>
      <c r="B13" s="356">
        <v>0</v>
      </c>
      <c r="C13" s="357">
        <v>0</v>
      </c>
      <c r="D13" s="356">
        <v>12004</v>
      </c>
      <c r="E13" s="357">
        <v>57394.13</v>
      </c>
      <c r="F13" s="358"/>
      <c r="G13" s="359"/>
    </row>
    <row r="14" spans="1:10" ht="21.95" customHeight="1">
      <c r="A14" s="355">
        <v>8</v>
      </c>
      <c r="B14" s="356">
        <v>0</v>
      </c>
      <c r="C14" s="357">
        <v>0</v>
      </c>
      <c r="D14" s="356">
        <v>0</v>
      </c>
      <c r="E14" s="357">
        <v>0</v>
      </c>
      <c r="F14" s="358"/>
      <c r="G14" s="359"/>
    </row>
    <row r="15" spans="1:10" ht="21.95" customHeight="1">
      <c r="A15" s="355">
        <v>9</v>
      </c>
      <c r="B15" s="356">
        <v>12002</v>
      </c>
      <c r="C15" s="357">
        <v>35991</v>
      </c>
      <c r="D15" s="360">
        <v>12001</v>
      </c>
      <c r="E15" s="357">
        <v>59239.94</v>
      </c>
      <c r="F15" s="358">
        <f t="shared" si="0"/>
        <v>99.991668055324112</v>
      </c>
      <c r="G15" s="359">
        <f t="shared" si="0"/>
        <v>164.59653802339474</v>
      </c>
    </row>
    <row r="16" spans="1:10" ht="21.95" customHeight="1">
      <c r="A16" s="355">
        <v>10</v>
      </c>
      <c r="B16" s="356">
        <v>12001</v>
      </c>
      <c r="C16" s="357">
        <v>36783.06</v>
      </c>
      <c r="D16" s="356">
        <v>12001</v>
      </c>
      <c r="E16" s="357">
        <v>70385.86</v>
      </c>
      <c r="F16" s="358">
        <f t="shared" si="0"/>
        <v>100</v>
      </c>
      <c r="G16" s="359">
        <f t="shared" si="0"/>
        <v>191.35400915530138</v>
      </c>
      <c r="I16" s="361"/>
      <c r="J16" s="362"/>
    </row>
    <row r="17" spans="1:10" ht="21.95" customHeight="1">
      <c r="A17" s="355">
        <v>11</v>
      </c>
      <c r="B17" s="356">
        <v>12001</v>
      </c>
      <c r="C17" s="357">
        <v>38673.230000000003</v>
      </c>
      <c r="D17" s="356">
        <f>12000+12000</f>
        <v>24000</v>
      </c>
      <c r="E17" s="357">
        <f>68310+67275</f>
        <v>135585</v>
      </c>
      <c r="F17" s="358">
        <f t="shared" si="0"/>
        <v>199.98333472210649</v>
      </c>
      <c r="G17" s="359">
        <f t="shared" si="0"/>
        <v>350.5913522092672</v>
      </c>
      <c r="I17" s="361"/>
      <c r="J17" s="362"/>
    </row>
    <row r="18" spans="1:10" ht="21.95" customHeight="1" thickBot="1">
      <c r="A18" s="363">
        <v>12</v>
      </c>
      <c r="B18" s="364">
        <f>12006+11999+12001</f>
        <v>36006</v>
      </c>
      <c r="C18" s="365">
        <f>41045.51+42701.45+43128.59</f>
        <v>126875.54999999999</v>
      </c>
      <c r="D18" s="364">
        <f>12000+12000+12000</f>
        <v>36000</v>
      </c>
      <c r="E18" s="365">
        <f>61770+65505-453+65040</f>
        <v>191862</v>
      </c>
      <c r="F18" s="366">
        <f t="shared" si="0"/>
        <v>99.983336110648224</v>
      </c>
      <c r="G18" s="367">
        <f t="shared" si="0"/>
        <v>151.22062525049154</v>
      </c>
      <c r="I18" s="361"/>
    </row>
    <row r="19" spans="1:10" ht="30" customHeight="1" thickBot="1">
      <c r="A19" s="368" t="s">
        <v>23</v>
      </c>
      <c r="B19" s="369">
        <f>SUM(B7:B18)</f>
        <v>180035</v>
      </c>
      <c r="C19" s="370">
        <f>SUM(C7:C18)</f>
        <v>661730.17999999993</v>
      </c>
      <c r="D19" s="371">
        <f>SUM(D7:D18)</f>
        <v>204032</v>
      </c>
      <c r="E19" s="372">
        <f>SUM(E7:E18)</f>
        <v>955874.33</v>
      </c>
      <c r="F19" s="373">
        <f>D19/B19*100</f>
        <v>113.32907490210238</v>
      </c>
      <c r="G19" s="374">
        <f>E19/C19*100</f>
        <v>144.45076843858021</v>
      </c>
    </row>
    <row r="20" spans="1:10" ht="15.75" thickBot="1">
      <c r="E20" s="362"/>
    </row>
    <row r="21" spans="1:10" ht="15.75" thickBot="1">
      <c r="A21" s="375" t="s">
        <v>146</v>
      </c>
      <c r="B21" s="376"/>
      <c r="C21" s="377"/>
      <c r="D21" s="377"/>
      <c r="E21" s="362"/>
    </row>
    <row r="22" spans="1:10">
      <c r="D22" s="361"/>
    </row>
    <row r="24" spans="1:10">
      <c r="D24" s="361"/>
    </row>
  </sheetData>
  <mergeCells count="6">
    <mergeCell ref="A3:G3"/>
    <mergeCell ref="A5:A6"/>
    <mergeCell ref="B5:C5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0" pageOrder="overThenDown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D46" sqref="D46"/>
    </sheetView>
  </sheetViews>
  <sheetFormatPr defaultRowHeight="15"/>
  <cols>
    <col min="1" max="1" width="12.42578125" style="347" customWidth="1"/>
    <col min="2" max="2" width="12.7109375" style="347" customWidth="1"/>
    <col min="3" max="3" width="20.7109375" style="347" customWidth="1"/>
    <col min="4" max="4" width="12.7109375" style="347" customWidth="1"/>
    <col min="5" max="5" width="20.7109375" style="347" customWidth="1"/>
    <col min="6" max="7" width="13.7109375" style="347" customWidth="1"/>
    <col min="8" max="9" width="9.140625" style="347"/>
    <col min="10" max="10" width="14.7109375" style="347" customWidth="1"/>
    <col min="11" max="16384" width="9.140625" style="347"/>
  </cols>
  <sheetData>
    <row r="1" spans="1:7" ht="15.75" thickBot="1">
      <c r="A1" s="346" t="s">
        <v>64</v>
      </c>
      <c r="G1" s="530" t="s">
        <v>276</v>
      </c>
    </row>
    <row r="2" spans="1:7" ht="15.75" thickBot="1">
      <c r="A2" s="346"/>
    </row>
    <row r="3" spans="1:7" ht="27" thickBot="1">
      <c r="A3" s="596" t="s">
        <v>147</v>
      </c>
      <c r="B3" s="597"/>
      <c r="C3" s="597"/>
      <c r="D3" s="597"/>
      <c r="E3" s="597"/>
      <c r="F3" s="597"/>
      <c r="G3" s="598"/>
    </row>
    <row r="4" spans="1:7" ht="15.75" thickBot="1"/>
    <row r="5" spans="1:7" ht="60" customHeight="1" thickBot="1">
      <c r="A5" s="599" t="s">
        <v>139</v>
      </c>
      <c r="B5" s="610" t="s">
        <v>140</v>
      </c>
      <c r="C5" s="611"/>
      <c r="D5" s="612" t="s">
        <v>141</v>
      </c>
      <c r="E5" s="613"/>
      <c r="F5" s="614" t="s">
        <v>148</v>
      </c>
      <c r="G5" s="616" t="s">
        <v>149</v>
      </c>
    </row>
    <row r="6" spans="1:7" ht="15.75" thickBot="1">
      <c r="A6" s="609"/>
      <c r="B6" s="378" t="s">
        <v>150</v>
      </c>
      <c r="C6" s="379" t="s">
        <v>145</v>
      </c>
      <c r="D6" s="378" t="s">
        <v>150</v>
      </c>
      <c r="E6" s="379" t="s">
        <v>145</v>
      </c>
      <c r="F6" s="615"/>
      <c r="G6" s="617"/>
    </row>
    <row r="7" spans="1:7" ht="21.95" customHeight="1">
      <c r="A7" s="380">
        <v>1</v>
      </c>
      <c r="B7" s="381">
        <f>132840+9+6</f>
        <v>132855</v>
      </c>
      <c r="C7" s="382">
        <f>88113.31+29264.33</f>
        <v>117377.64</v>
      </c>
      <c r="D7" s="381">
        <f>88876+16</f>
        <v>88892</v>
      </c>
      <c r="E7" s="382">
        <f>21911.75+58856.34+47.88</f>
        <v>80815.97</v>
      </c>
      <c r="F7" s="383">
        <f>D7/B7*100</f>
        <v>66.909036167250008</v>
      </c>
      <c r="G7" s="384">
        <f>E7/C7*100</f>
        <v>68.851247988969618</v>
      </c>
    </row>
    <row r="8" spans="1:7" ht="21.95" customHeight="1">
      <c r="A8" s="355">
        <v>2</v>
      </c>
      <c r="B8" s="356">
        <f>89250+31494+12+9</f>
        <v>120765</v>
      </c>
      <c r="C8" s="357">
        <f>27985.18+80275.6</f>
        <v>108260.78</v>
      </c>
      <c r="D8" s="356">
        <f>106496+24</f>
        <v>106520</v>
      </c>
      <c r="E8" s="357">
        <f>25286.13+71214.79+47.69</f>
        <v>96548.61</v>
      </c>
      <c r="F8" s="358">
        <f t="shared" ref="F8:G18" si="0">D8/B8*100</f>
        <v>88.204363847141138</v>
      </c>
      <c r="G8" s="359">
        <f t="shared" si="0"/>
        <v>89.181520768647701</v>
      </c>
    </row>
    <row r="9" spans="1:7" ht="21.95" customHeight="1">
      <c r="A9" s="355">
        <v>3</v>
      </c>
      <c r="B9" s="356">
        <f>100787+17</f>
        <v>100804</v>
      </c>
      <c r="C9" s="357">
        <f>24359.42+66294.47</f>
        <v>90653.89</v>
      </c>
      <c r="D9" s="356">
        <f>19+117338</f>
        <v>117357</v>
      </c>
      <c r="E9" s="357">
        <f>78277.81+27571.04+47.92</f>
        <v>105896.77</v>
      </c>
      <c r="F9" s="358">
        <f t="shared" si="0"/>
        <v>116.4209753581207</v>
      </c>
      <c r="G9" s="359">
        <f t="shared" si="0"/>
        <v>116.81436946610897</v>
      </c>
    </row>
    <row r="10" spans="1:7" ht="21.95" customHeight="1">
      <c r="A10" s="355">
        <v>4</v>
      </c>
      <c r="B10" s="356">
        <f>30915+17150+19</f>
        <v>48084</v>
      </c>
      <c r="C10" s="357">
        <f>12280.3+30698.93</f>
        <v>42979.229999999996</v>
      </c>
      <c r="D10" s="356">
        <f>19+111180</f>
        <v>111199</v>
      </c>
      <c r="E10" s="357">
        <f>73292.72+25685.11+47.69</f>
        <v>99025.52</v>
      </c>
      <c r="F10" s="358">
        <f t="shared" si="0"/>
        <v>231.25987854587805</v>
      </c>
      <c r="G10" s="359">
        <f t="shared" si="0"/>
        <v>230.4031970791473</v>
      </c>
    </row>
    <row r="11" spans="1:7" ht="21.95" customHeight="1">
      <c r="A11" s="355">
        <v>5</v>
      </c>
      <c r="B11" s="356">
        <f>11+8+66714+30734</f>
        <v>97467</v>
      </c>
      <c r="C11" s="357">
        <f>21901.15+63332.1</f>
        <v>85233.25</v>
      </c>
      <c r="D11" s="356">
        <f>20+113637+43</f>
        <v>113700</v>
      </c>
      <c r="E11" s="357">
        <f>74834.2+25866.29+106.54</f>
        <v>100807.02999999998</v>
      </c>
      <c r="F11" s="358">
        <f t="shared" si="0"/>
        <v>116.65486780140969</v>
      </c>
      <c r="G11" s="359">
        <f>E11/C11*100</f>
        <v>118.27195372697861</v>
      </c>
    </row>
    <row r="12" spans="1:7" ht="21.95" customHeight="1">
      <c r="A12" s="355">
        <v>6</v>
      </c>
      <c r="B12" s="356">
        <f>12+8+92311+34808+2520</f>
        <v>129659</v>
      </c>
      <c r="C12" s="357">
        <f>29917.02+84060.14+2540.54+47.86</f>
        <v>116565.56</v>
      </c>
      <c r="D12" s="356">
        <f>18+138613</f>
        <v>138631</v>
      </c>
      <c r="E12" s="357">
        <f>91701.34+32699.25+47.86</f>
        <v>124448.45</v>
      </c>
      <c r="F12" s="358">
        <f t="shared" si="0"/>
        <v>106.91968933895835</v>
      </c>
      <c r="G12" s="359">
        <f t="shared" si="0"/>
        <v>106.76262353992037</v>
      </c>
    </row>
    <row r="13" spans="1:7" ht="21.95" customHeight="1">
      <c r="A13" s="355">
        <v>7</v>
      </c>
      <c r="B13" s="356">
        <f>11+7+113146+41641</f>
        <v>154805</v>
      </c>
      <c r="C13" s="357">
        <f>34572.69+102555.42+47.86</f>
        <v>137175.96999999997</v>
      </c>
      <c r="D13" s="356">
        <f>19+158808</f>
        <v>158827</v>
      </c>
      <c r="E13" s="357">
        <f>105293.72+35795.47+53.57+56.48</f>
        <v>141199.24000000002</v>
      </c>
      <c r="F13" s="358">
        <f t="shared" si="0"/>
        <v>102.59810729627597</v>
      </c>
      <c r="G13" s="359">
        <f t="shared" si="0"/>
        <v>102.93292622607302</v>
      </c>
    </row>
    <row r="14" spans="1:7" ht="21.95" customHeight="1">
      <c r="A14" s="355">
        <v>8</v>
      </c>
      <c r="B14" s="356">
        <f>12+9+110212+40402+3+7</f>
        <v>150645</v>
      </c>
      <c r="C14" s="357">
        <f>33546.49+99824.73+56.74</f>
        <v>133427.96</v>
      </c>
      <c r="D14" s="356">
        <f>18+153570</f>
        <v>153588</v>
      </c>
      <c r="E14" s="357">
        <f>101417.57+34485.62+50.12</f>
        <v>135953.31</v>
      </c>
      <c r="F14" s="358">
        <f t="shared" si="0"/>
        <v>101.95359952205516</v>
      </c>
      <c r="G14" s="359">
        <f t="shared" si="0"/>
        <v>101.89266927261723</v>
      </c>
    </row>
    <row r="15" spans="1:7" ht="21.95" customHeight="1">
      <c r="A15" s="355">
        <v>9</v>
      </c>
      <c r="B15" s="356">
        <f>20+21+122367</f>
        <v>122408</v>
      </c>
      <c r="C15" s="357">
        <f>64.93+81103.53+28417.13</f>
        <v>109585.59</v>
      </c>
      <c r="D15" s="356">
        <f>18+136828</f>
        <v>136846</v>
      </c>
      <c r="E15" s="357">
        <f>90785.89+31121.33+47.86</f>
        <v>121955.08</v>
      </c>
      <c r="F15" s="358">
        <f t="shared" si="0"/>
        <v>111.79498072021437</v>
      </c>
      <c r="G15" s="359">
        <f t="shared" si="0"/>
        <v>111.28751508295936</v>
      </c>
    </row>
    <row r="16" spans="1:7" ht="21.95" customHeight="1">
      <c r="A16" s="355">
        <v>10</v>
      </c>
      <c r="B16" s="356">
        <f>1+17+99220</f>
        <v>99238</v>
      </c>
      <c r="C16" s="357">
        <f>49.17+65696.58+23071.52</f>
        <v>88817.27</v>
      </c>
      <c r="D16" s="356">
        <f>131707+19</f>
        <v>131726</v>
      </c>
      <c r="E16" s="357">
        <f>86549.18+29241.71+53.57+47.86</f>
        <v>115892.31999999999</v>
      </c>
      <c r="F16" s="358">
        <f t="shared" si="0"/>
        <v>132.73745944093994</v>
      </c>
      <c r="G16" s="359">
        <f t="shared" si="0"/>
        <v>130.48399258387474</v>
      </c>
    </row>
    <row r="17" spans="1:10" ht="21.95" customHeight="1">
      <c r="A17" s="355">
        <v>11</v>
      </c>
      <c r="B17" s="356">
        <f>17+92598</f>
        <v>92615</v>
      </c>
      <c r="C17" s="357">
        <f>61806.07+22283.88</f>
        <v>84089.95</v>
      </c>
      <c r="D17" s="356">
        <f>123023+17</f>
        <v>123040</v>
      </c>
      <c r="E17" s="357">
        <f>82192.64+28802.78+47.69</f>
        <v>111043.11</v>
      </c>
      <c r="F17" s="358">
        <f t="shared" si="0"/>
        <v>132.85105004588888</v>
      </c>
      <c r="G17" s="359">
        <f t="shared" si="0"/>
        <v>132.05277206134622</v>
      </c>
    </row>
    <row r="18" spans="1:10" ht="21.95" customHeight="1" thickBot="1">
      <c r="A18" s="385">
        <v>12</v>
      </c>
      <c r="B18" s="386">
        <f>17+88844</f>
        <v>88861</v>
      </c>
      <c r="C18" s="387">
        <f>59170.69+21443.44+47.86+47.86</f>
        <v>80709.850000000006</v>
      </c>
      <c r="D18" s="386">
        <f>114958+19</f>
        <v>114977</v>
      </c>
      <c r="E18" s="387">
        <f>76936.25+26861.93+47.86</f>
        <v>103846.04</v>
      </c>
      <c r="F18" s="388">
        <f t="shared" si="0"/>
        <v>129.38972102497161</v>
      </c>
      <c r="G18" s="389">
        <f t="shared" si="0"/>
        <v>128.66588154977364</v>
      </c>
      <c r="H18" s="390"/>
      <c r="I18" s="390"/>
    </row>
    <row r="19" spans="1:10" ht="30" customHeight="1" thickBot="1">
      <c r="A19" s="368" t="s">
        <v>23</v>
      </c>
      <c r="B19" s="391">
        <f>SUM(B7:B18)</f>
        <v>1338206</v>
      </c>
      <c r="C19" s="392">
        <f>SUM(C7:C18)</f>
        <v>1194876.94</v>
      </c>
      <c r="D19" s="393">
        <f>SUM(D7:D18)</f>
        <v>1495303</v>
      </c>
      <c r="E19" s="394">
        <f>SUM(E7:E18)</f>
        <v>1337431.45</v>
      </c>
      <c r="F19" s="395">
        <f>D19/B19*100</f>
        <v>111.73937345969156</v>
      </c>
      <c r="G19" s="396">
        <f>E19/C19*100</f>
        <v>111.93047628821091</v>
      </c>
    </row>
    <row r="20" spans="1:10" ht="15.75" thickBot="1">
      <c r="E20" s="362"/>
    </row>
    <row r="21" spans="1:10" ht="15.75" thickBot="1">
      <c r="A21" s="397" t="s">
        <v>146</v>
      </c>
      <c r="B21" s="398"/>
      <c r="C21" s="399"/>
      <c r="D21" s="399"/>
      <c r="E21" s="362"/>
    </row>
    <row r="22" spans="1:10">
      <c r="A22" s="347" t="s">
        <v>151</v>
      </c>
      <c r="E22" s="361"/>
    </row>
    <row r="23" spans="1:10">
      <c r="J23" s="362"/>
    </row>
    <row r="24" spans="1:10">
      <c r="J24" s="362"/>
    </row>
  </sheetData>
  <mergeCells count="6">
    <mergeCell ref="A3:G3"/>
    <mergeCell ref="A5:A6"/>
    <mergeCell ref="B5:C5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0" pageOrder="overThenDown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D1" sqref="D1"/>
    </sheetView>
  </sheetViews>
  <sheetFormatPr defaultRowHeight="15"/>
  <cols>
    <col min="1" max="1" width="12.42578125" style="347" customWidth="1"/>
    <col min="2" max="2" width="12.7109375" style="347" customWidth="1"/>
    <col min="3" max="3" width="20.7109375" style="347" customWidth="1"/>
    <col min="4" max="4" width="12.7109375" style="347" customWidth="1"/>
    <col min="5" max="5" width="20.7109375" style="347" customWidth="1"/>
    <col min="6" max="7" width="13.7109375" style="347" customWidth="1"/>
    <col min="8" max="16384" width="9.140625" style="347"/>
  </cols>
  <sheetData>
    <row r="1" spans="1:7" ht="15.75" thickBot="1">
      <c r="A1" s="346" t="s">
        <v>64</v>
      </c>
      <c r="G1" s="530" t="s">
        <v>277</v>
      </c>
    </row>
    <row r="2" spans="1:7" ht="15.75" thickBot="1">
      <c r="A2" s="346"/>
    </row>
    <row r="3" spans="1:7" ht="27" thickBot="1">
      <c r="A3" s="596" t="s">
        <v>157</v>
      </c>
      <c r="B3" s="597"/>
      <c r="C3" s="597"/>
      <c r="D3" s="597"/>
      <c r="E3" s="597"/>
      <c r="F3" s="597"/>
      <c r="G3" s="598"/>
    </row>
    <row r="4" spans="1:7" ht="15.75" thickBot="1"/>
    <row r="5" spans="1:7" ht="60" customHeight="1">
      <c r="A5" s="599" t="s">
        <v>139</v>
      </c>
      <c r="B5" s="618" t="s">
        <v>158</v>
      </c>
      <c r="C5" s="619"/>
      <c r="D5" s="620" t="s">
        <v>159</v>
      </c>
      <c r="E5" s="621"/>
      <c r="F5" s="622" t="s">
        <v>160</v>
      </c>
      <c r="G5" s="624" t="s">
        <v>161</v>
      </c>
    </row>
    <row r="6" spans="1:7" ht="15.75" thickBot="1">
      <c r="A6" s="600"/>
      <c r="B6" s="412" t="s">
        <v>162</v>
      </c>
      <c r="C6" s="413" t="s">
        <v>145</v>
      </c>
      <c r="D6" s="412" t="s">
        <v>162</v>
      </c>
      <c r="E6" s="413" t="s">
        <v>145</v>
      </c>
      <c r="F6" s="623"/>
      <c r="G6" s="625"/>
    </row>
    <row r="7" spans="1:7" ht="21.95" customHeight="1">
      <c r="A7" s="350">
        <v>1</v>
      </c>
      <c r="B7" s="351">
        <f>'[1]VODA - WELLNESS I OSTALI OBJEKT'!F9</f>
        <v>1407</v>
      </c>
      <c r="C7" s="352">
        <f>'[1]VODA - WELLNESS I OSTALI OBJEKT'!G9</f>
        <v>41811.54</v>
      </c>
      <c r="D7" s="351">
        <f>'[1]VODA - WELLNESS I OSTALI OBJEKT'!L9</f>
        <v>539</v>
      </c>
      <c r="E7" s="352">
        <f>'[1]VODA - WELLNESS I OSTALI OBJEKT'!M9</f>
        <v>21202</v>
      </c>
      <c r="F7" s="353">
        <f>D7/B7*100</f>
        <v>38.308457711442784</v>
      </c>
      <c r="G7" s="354">
        <f>E7/C7*100</f>
        <v>50.708488613430646</v>
      </c>
    </row>
    <row r="8" spans="1:7" ht="21.95" customHeight="1">
      <c r="A8" s="355">
        <v>2</v>
      </c>
      <c r="B8" s="356">
        <f>'[1]VODA - WELLNESS I OSTALI OBJEKT'!F10</f>
        <v>1507</v>
      </c>
      <c r="C8" s="357">
        <f>'[1]VODA - WELLNESS I OSTALI OBJEKT'!G10</f>
        <v>45543.99</v>
      </c>
      <c r="D8" s="356">
        <f>'[1]VODA - WELLNESS I OSTALI OBJEKT'!L10</f>
        <v>913</v>
      </c>
      <c r="E8" s="357">
        <f>'[1]VODA - WELLNESS I OSTALI OBJEKT'!M10</f>
        <v>30879.58</v>
      </c>
      <c r="F8" s="358">
        <f t="shared" ref="F8:G18" si="0">D8/B8*100</f>
        <v>60.583941605839421</v>
      </c>
      <c r="G8" s="359">
        <f t="shared" si="0"/>
        <v>67.801657254886976</v>
      </c>
    </row>
    <row r="9" spans="1:7" ht="21.95" customHeight="1">
      <c r="A9" s="355">
        <v>3</v>
      </c>
      <c r="B9" s="356">
        <f>'[1]VODA - WELLNESS I OSTALI OBJEKT'!F11</f>
        <v>1707</v>
      </c>
      <c r="C9" s="357">
        <f>'[1]VODA - WELLNESS I OSTALI OBJEKT'!G11</f>
        <v>50172.1</v>
      </c>
      <c r="D9" s="356">
        <f>'[1]VODA - WELLNESS I OSTALI OBJEKT'!L11</f>
        <v>1730</v>
      </c>
      <c r="E9" s="357">
        <f>'[1]VODA - WELLNESS I OSTALI OBJEKT'!M11</f>
        <v>50768.82</v>
      </c>
      <c r="F9" s="358">
        <f t="shared" si="0"/>
        <v>101.34739308728764</v>
      </c>
      <c r="G9" s="359">
        <f t="shared" si="0"/>
        <v>101.18934627013817</v>
      </c>
    </row>
    <row r="10" spans="1:7" ht="21.95" customHeight="1">
      <c r="A10" s="355">
        <v>4</v>
      </c>
      <c r="B10" s="356">
        <f>'[1]VODA - WELLNESS I OSTALI OBJEKT'!F12</f>
        <v>530</v>
      </c>
      <c r="C10" s="357">
        <f>'[1]VODA - WELLNESS I OSTALI OBJEKT'!G12</f>
        <v>20849.099999999999</v>
      </c>
      <c r="D10" s="356">
        <f>'[1]VODA - WELLNESS I OSTALI OBJEKT'!L12</f>
        <v>1259</v>
      </c>
      <c r="E10" s="357">
        <f>'[1]VODA - WELLNESS I OSTALI OBJEKT'!M12</f>
        <v>39068.71</v>
      </c>
      <c r="F10" s="358">
        <f t="shared" si="0"/>
        <v>237.54716981132074</v>
      </c>
      <c r="G10" s="359">
        <f t="shared" si="0"/>
        <v>187.38799276707391</v>
      </c>
    </row>
    <row r="11" spans="1:7" ht="21.95" customHeight="1">
      <c r="A11" s="355">
        <v>5</v>
      </c>
      <c r="B11" s="356">
        <f>'[1]VODA - WELLNESS I OSTALI OBJEKT'!F13</f>
        <v>589</v>
      </c>
      <c r="C11" s="357">
        <f>'[1]VODA - WELLNESS I OSTALI OBJEKT'!G13</f>
        <v>22429.620000000003</v>
      </c>
      <c r="D11" s="356">
        <f>'[1]VODA - WELLNESS I OSTALI OBJEKT'!L13</f>
        <v>1313</v>
      </c>
      <c r="E11" s="357">
        <f>'[1]VODA - WELLNESS I OSTALI OBJEKT'!M13</f>
        <v>41650.659999999996</v>
      </c>
      <c r="F11" s="358">
        <f t="shared" si="0"/>
        <v>222.92020373514433</v>
      </c>
      <c r="G11" s="359">
        <f t="shared" si="0"/>
        <v>185.69489808565635</v>
      </c>
    </row>
    <row r="12" spans="1:7" ht="21.95" customHeight="1">
      <c r="A12" s="355">
        <v>6</v>
      </c>
      <c r="B12" s="356">
        <f>'[1]VODA - WELLNESS I OSTALI OBJEKT'!F14</f>
        <v>1493</v>
      </c>
      <c r="C12" s="357">
        <f>'[1]VODA - WELLNESS I OSTALI OBJEKT'!G14</f>
        <v>44814.740000000005</v>
      </c>
      <c r="D12" s="356">
        <f>'[1]VODA - WELLNESS I OSTALI OBJEKT'!L14</f>
        <v>1380</v>
      </c>
      <c r="E12" s="357">
        <f>'[1]VODA - WELLNESS I OSTALI OBJEKT'!M14</f>
        <v>43554.25</v>
      </c>
      <c r="F12" s="358">
        <f t="shared" si="0"/>
        <v>92.431346282652385</v>
      </c>
      <c r="G12" s="359">
        <f t="shared" si="0"/>
        <v>97.187331668107404</v>
      </c>
    </row>
    <row r="13" spans="1:7" ht="21.95" customHeight="1">
      <c r="A13" s="355">
        <v>7</v>
      </c>
      <c r="B13" s="356">
        <f>'[1]VODA - WELLNESS I OSTALI OBJEKT'!F15</f>
        <v>1223</v>
      </c>
      <c r="C13" s="357">
        <f>'[1]VODA - WELLNESS I OSTALI OBJEKT'!G15</f>
        <v>38155.009999999995</v>
      </c>
      <c r="D13" s="356">
        <f>'[1]VODA - WELLNESS I OSTALI OBJEKT'!L15</f>
        <v>1551</v>
      </c>
      <c r="E13" s="357">
        <f>'[1]VODA - WELLNESS I OSTALI OBJEKT'!M15</f>
        <v>47339.18</v>
      </c>
      <c r="F13" s="358">
        <f t="shared" si="0"/>
        <v>126.81929681112018</v>
      </c>
      <c r="G13" s="359">
        <f t="shared" si="0"/>
        <v>124.0706790536813</v>
      </c>
    </row>
    <row r="14" spans="1:7" ht="21.95" customHeight="1">
      <c r="A14" s="355">
        <v>8</v>
      </c>
      <c r="B14" s="356">
        <f>'[1]VODA - WELLNESS I OSTALI OBJEKT'!F16</f>
        <v>1438</v>
      </c>
      <c r="C14" s="357">
        <f>'[1]VODA - WELLNESS I OSTALI OBJEKT'!G16</f>
        <v>43824.53</v>
      </c>
      <c r="D14" s="356">
        <f>'[1]VODA - WELLNESS I OSTALI OBJEKT'!L16</f>
        <v>1503</v>
      </c>
      <c r="E14" s="357">
        <f>'[1]VODA - WELLNESS I OSTALI OBJEKT'!M16</f>
        <v>46817.54</v>
      </c>
      <c r="F14" s="358">
        <f t="shared" si="0"/>
        <v>104.52016689847011</v>
      </c>
      <c r="G14" s="359">
        <f t="shared" si="0"/>
        <v>106.82953131499642</v>
      </c>
    </row>
    <row r="15" spans="1:7" ht="21.95" customHeight="1">
      <c r="A15" s="355">
        <v>9</v>
      </c>
      <c r="B15" s="356">
        <f>'[1]VODA - WELLNESS I OSTALI OBJEKT'!F17</f>
        <v>1430</v>
      </c>
      <c r="C15" s="357">
        <f>'[1]VODA - WELLNESS I OSTALI OBJEKT'!G17</f>
        <v>43254.71</v>
      </c>
      <c r="D15" s="356">
        <f>'[1]VODA - WELLNESS I OSTALI OBJEKT'!L17</f>
        <v>1426</v>
      </c>
      <c r="E15" s="357">
        <f>'[1]VODA - WELLNESS I OSTALI OBJEKT'!M17</f>
        <v>45086.61</v>
      </c>
      <c r="F15" s="358">
        <f t="shared" si="0"/>
        <v>99.72027972027972</v>
      </c>
      <c r="G15" s="359">
        <f t="shared" si="0"/>
        <v>104.23514572170292</v>
      </c>
    </row>
    <row r="16" spans="1:7" ht="21.95" customHeight="1">
      <c r="A16" s="355">
        <v>10</v>
      </c>
      <c r="B16" s="356">
        <f>'[1]VODA - WELLNESS I OSTALI OBJEKT'!F18</f>
        <v>1158</v>
      </c>
      <c r="C16" s="357">
        <f>'[1]VODA - WELLNESS I OSTALI OBJEKT'!G18</f>
        <v>36528.699999999997</v>
      </c>
      <c r="D16" s="356">
        <f>'[1]VODA - WELLNESS I OSTALI OBJEKT'!L18</f>
        <v>1321</v>
      </c>
      <c r="E16" s="357">
        <f>'[1]VODA - WELLNESS I OSTALI OBJEKT'!M18</f>
        <v>42088.32</v>
      </c>
      <c r="F16" s="358">
        <f t="shared" si="0"/>
        <v>114.07599309153713</v>
      </c>
      <c r="G16" s="359">
        <f t="shared" si="0"/>
        <v>115.21986821321318</v>
      </c>
    </row>
    <row r="17" spans="1:7" ht="21.95" customHeight="1">
      <c r="A17" s="355">
        <v>11</v>
      </c>
      <c r="B17" s="356">
        <f>'[1]VODA - WELLNESS I OSTALI OBJEKT'!F19</f>
        <v>1297</v>
      </c>
      <c r="C17" s="357">
        <f>'[1]VODA - WELLNESS I OSTALI OBJEKT'!G19</f>
        <v>40346.080000000002</v>
      </c>
      <c r="D17" s="356">
        <f>'[1]VODA - WELLNESS I OSTALI OBJEKT'!L19</f>
        <v>1215</v>
      </c>
      <c r="E17" s="357">
        <f>'[1]VODA - WELLNESS I OSTALI OBJEKT'!M19</f>
        <v>39147.07</v>
      </c>
      <c r="F17" s="358">
        <f t="shared" si="0"/>
        <v>93.677717810331529</v>
      </c>
      <c r="G17" s="359">
        <f t="shared" si="0"/>
        <v>97.028187124994545</v>
      </c>
    </row>
    <row r="18" spans="1:7" ht="21.95" customHeight="1" thickBot="1">
      <c r="A18" s="363">
        <v>12</v>
      </c>
      <c r="B18" s="364">
        <f>'[1]VODA - WELLNESS I OSTALI OBJEKT'!F20</f>
        <v>919</v>
      </c>
      <c r="C18" s="365">
        <f>'[1]VODA - WELLNESS I OSTALI OBJEKT'!G20</f>
        <v>30613.46</v>
      </c>
      <c r="D18" s="364">
        <f>'[1]VODA - WELLNESS I OSTALI OBJEKT'!L20</f>
        <v>1200</v>
      </c>
      <c r="E18" s="365">
        <f>'[1]VODA - WELLNESS I OSTALI OBJEKT'!M20</f>
        <v>39827.630000000005</v>
      </c>
      <c r="F18" s="366">
        <f t="shared" si="0"/>
        <v>130.57671381936888</v>
      </c>
      <c r="G18" s="367">
        <f t="shared" si="0"/>
        <v>130.09842729309267</v>
      </c>
    </row>
    <row r="19" spans="1:7" ht="30" customHeight="1" thickBot="1">
      <c r="A19" s="368" t="s">
        <v>23</v>
      </c>
      <c r="B19" s="414">
        <f>SUM(B7:B18)</f>
        <v>14698</v>
      </c>
      <c r="C19" s="415">
        <f>SUM(C7:C18)</f>
        <v>458343.58000000007</v>
      </c>
      <c r="D19" s="416">
        <f>SUM(D7:D18)</f>
        <v>15350</v>
      </c>
      <c r="E19" s="417">
        <f>SUM(E7:E18)</f>
        <v>487430.37</v>
      </c>
      <c r="F19" s="418">
        <f>D19/B19*100</f>
        <v>104.43597768403865</v>
      </c>
      <c r="G19" s="419">
        <f>E19/C19*100</f>
        <v>106.34606685229451</v>
      </c>
    </row>
    <row r="20" spans="1:7" ht="15.75" thickBot="1">
      <c r="E20" s="362"/>
    </row>
    <row r="21" spans="1:7" ht="15.75" thickBot="1">
      <c r="A21" s="375" t="s">
        <v>146</v>
      </c>
      <c r="B21" s="376"/>
      <c r="C21" s="377"/>
      <c r="D21" s="377"/>
      <c r="E21" s="362"/>
    </row>
    <row r="23" spans="1:7">
      <c r="E23" s="361"/>
    </row>
  </sheetData>
  <mergeCells count="6">
    <mergeCell ref="A3:G3"/>
    <mergeCell ref="A5:A6"/>
    <mergeCell ref="B5:C5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0" pageOrder="overThenDown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D1" sqref="D1"/>
    </sheetView>
  </sheetViews>
  <sheetFormatPr defaultRowHeight="15"/>
  <cols>
    <col min="1" max="1" width="12.42578125" style="347" customWidth="1"/>
    <col min="2" max="2" width="12.7109375" style="347" customWidth="1"/>
    <col min="3" max="3" width="20.7109375" style="347" customWidth="1"/>
    <col min="4" max="4" width="12.7109375" style="347" customWidth="1"/>
    <col min="5" max="5" width="20.7109375" style="347" customWidth="1"/>
    <col min="6" max="7" width="13.7109375" style="347" customWidth="1"/>
    <col min="8" max="16384" width="9.140625" style="347"/>
  </cols>
  <sheetData>
    <row r="1" spans="1:9" ht="15.75" thickBot="1">
      <c r="A1" s="346" t="s">
        <v>64</v>
      </c>
      <c r="G1" s="530" t="s">
        <v>278</v>
      </c>
    </row>
    <row r="2" spans="1:9" ht="15.75" thickBot="1">
      <c r="A2" s="346"/>
    </row>
    <row r="3" spans="1:9" ht="27" thickBot="1">
      <c r="A3" s="596" t="s">
        <v>152</v>
      </c>
      <c r="B3" s="597"/>
      <c r="C3" s="597"/>
      <c r="D3" s="597"/>
      <c r="E3" s="597"/>
      <c r="F3" s="597"/>
      <c r="G3" s="598"/>
    </row>
    <row r="4" spans="1:9" ht="15.75" thickBot="1"/>
    <row r="5" spans="1:9" ht="60" customHeight="1">
      <c r="A5" s="599" t="s">
        <v>139</v>
      </c>
      <c r="B5" s="626" t="s">
        <v>140</v>
      </c>
      <c r="C5" s="627"/>
      <c r="D5" s="628" t="s">
        <v>141</v>
      </c>
      <c r="E5" s="629"/>
      <c r="F5" s="630" t="s">
        <v>153</v>
      </c>
      <c r="G5" s="632" t="s">
        <v>154</v>
      </c>
    </row>
    <row r="6" spans="1:9" ht="15.75" thickBot="1">
      <c r="A6" s="600"/>
      <c r="B6" s="348" t="s">
        <v>155</v>
      </c>
      <c r="C6" s="349" t="s">
        <v>145</v>
      </c>
      <c r="D6" s="348" t="s">
        <v>155</v>
      </c>
      <c r="E6" s="349" t="s">
        <v>145</v>
      </c>
      <c r="F6" s="631"/>
      <c r="G6" s="633"/>
    </row>
    <row r="7" spans="1:9" ht="21.95" customHeight="1">
      <c r="A7" s="350">
        <v>1</v>
      </c>
      <c r="B7" s="351">
        <v>1900</v>
      </c>
      <c r="C7" s="352">
        <v>13323.75</v>
      </c>
      <c r="D7" s="351">
        <v>0</v>
      </c>
      <c r="E7" s="352">
        <v>0</v>
      </c>
      <c r="F7" s="383"/>
      <c r="G7" s="384"/>
    </row>
    <row r="8" spans="1:9" ht="21.95" customHeight="1">
      <c r="A8" s="355">
        <v>2</v>
      </c>
      <c r="B8" s="356">
        <v>1503</v>
      </c>
      <c r="C8" s="357">
        <v>11404.01</v>
      </c>
      <c r="D8" s="356">
        <v>1502</v>
      </c>
      <c r="E8" s="357">
        <v>12034.78</v>
      </c>
      <c r="F8" s="383">
        <f>D8/B8*100</f>
        <v>99.933466400532268</v>
      </c>
      <c r="G8" s="384">
        <f>E8/C8*100</f>
        <v>105.53112457810894</v>
      </c>
    </row>
    <row r="9" spans="1:9" ht="21.95" customHeight="1">
      <c r="A9" s="355">
        <v>3</v>
      </c>
      <c r="B9" s="356">
        <v>0</v>
      </c>
      <c r="C9" s="357">
        <v>0</v>
      </c>
      <c r="D9" s="356">
        <v>0</v>
      </c>
      <c r="E9" s="357">
        <v>0</v>
      </c>
      <c r="F9" s="383"/>
      <c r="G9" s="384"/>
    </row>
    <row r="10" spans="1:9" ht="21.95" customHeight="1">
      <c r="A10" s="355">
        <v>4</v>
      </c>
      <c r="B10" s="356">
        <v>0</v>
      </c>
      <c r="C10" s="357">
        <v>0</v>
      </c>
      <c r="D10" s="356">
        <v>1301</v>
      </c>
      <c r="E10" s="357">
        <v>9936.39</v>
      </c>
      <c r="F10" s="383"/>
      <c r="G10" s="384"/>
    </row>
    <row r="11" spans="1:9" ht="21.95" customHeight="1">
      <c r="A11" s="355">
        <v>5</v>
      </c>
      <c r="B11" s="356">
        <v>1525</v>
      </c>
      <c r="C11" s="357">
        <v>8711.56</v>
      </c>
      <c r="D11" s="356">
        <v>1600</v>
      </c>
      <c r="E11" s="357">
        <v>11640</v>
      </c>
      <c r="F11" s="383">
        <f t="shared" ref="F11:G16" si="0">D11/B11*100</f>
        <v>104.91803278688525</v>
      </c>
      <c r="G11" s="384">
        <f t="shared" si="0"/>
        <v>133.61556368778957</v>
      </c>
    </row>
    <row r="12" spans="1:9" ht="21.95" customHeight="1">
      <c r="A12" s="355">
        <v>6</v>
      </c>
      <c r="B12" s="356">
        <v>0</v>
      </c>
      <c r="C12" s="357">
        <v>0</v>
      </c>
      <c r="D12" s="356">
        <v>0</v>
      </c>
      <c r="E12" s="357">
        <v>0</v>
      </c>
      <c r="F12" s="383"/>
      <c r="G12" s="384"/>
    </row>
    <row r="13" spans="1:9" ht="21.95" customHeight="1">
      <c r="A13" s="355">
        <v>7</v>
      </c>
      <c r="B13" s="356">
        <v>1802</v>
      </c>
      <c r="C13" s="357">
        <v>11532.8</v>
      </c>
      <c r="D13" s="356">
        <v>1600</v>
      </c>
      <c r="E13" s="357">
        <v>13460</v>
      </c>
      <c r="F13" s="383">
        <f t="shared" si="0"/>
        <v>88.790233074361822</v>
      </c>
      <c r="G13" s="384">
        <f t="shared" si="0"/>
        <v>116.71059933407327</v>
      </c>
    </row>
    <row r="14" spans="1:9" ht="21.95" customHeight="1">
      <c r="A14" s="355">
        <v>8</v>
      </c>
      <c r="B14" s="356">
        <v>0</v>
      </c>
      <c r="C14" s="357">
        <v>0</v>
      </c>
      <c r="D14" s="356">
        <v>0</v>
      </c>
      <c r="E14" s="357">
        <v>0</v>
      </c>
      <c r="F14" s="383"/>
      <c r="G14" s="384"/>
      <c r="I14" s="390"/>
    </row>
    <row r="15" spans="1:9" ht="21.95" customHeight="1">
      <c r="A15" s="355">
        <v>9</v>
      </c>
      <c r="B15" s="360">
        <v>0</v>
      </c>
      <c r="C15" s="357">
        <v>0</v>
      </c>
      <c r="D15" s="360">
        <v>1602</v>
      </c>
      <c r="E15" s="357">
        <v>13737.15</v>
      </c>
      <c r="F15" s="383"/>
      <c r="G15" s="384"/>
    </row>
    <row r="16" spans="1:9" ht="21.95" customHeight="1">
      <c r="A16" s="355">
        <v>10</v>
      </c>
      <c r="B16" s="356">
        <v>1800</v>
      </c>
      <c r="C16" s="357">
        <v>12622.5</v>
      </c>
      <c r="D16" s="356">
        <v>1600</v>
      </c>
      <c r="E16" s="357">
        <v>16300</v>
      </c>
      <c r="F16" s="383">
        <f t="shared" si="0"/>
        <v>88.888888888888886</v>
      </c>
      <c r="G16" s="384">
        <f t="shared" si="0"/>
        <v>129.13448207565855</v>
      </c>
    </row>
    <row r="17" spans="1:7" ht="21.95" customHeight="1">
      <c r="A17" s="355">
        <v>11</v>
      </c>
      <c r="B17" s="356">
        <v>1758</v>
      </c>
      <c r="C17" s="357">
        <v>12349.95</v>
      </c>
      <c r="D17" s="356">
        <v>0</v>
      </c>
      <c r="E17" s="357">
        <v>0</v>
      </c>
      <c r="F17" s="383"/>
      <c r="G17" s="384"/>
    </row>
    <row r="18" spans="1:7" ht="21.95" customHeight="1" thickBot="1">
      <c r="A18" s="363">
        <v>12</v>
      </c>
      <c r="B18" s="364">
        <v>0</v>
      </c>
      <c r="C18" s="365">
        <v>0</v>
      </c>
      <c r="D18" s="364">
        <v>2000</v>
      </c>
      <c r="E18" s="365">
        <v>19125</v>
      </c>
      <c r="F18" s="383"/>
      <c r="G18" s="384"/>
    </row>
    <row r="19" spans="1:7" ht="30" customHeight="1" thickBot="1">
      <c r="A19" s="368" t="s">
        <v>23</v>
      </c>
      <c r="B19" s="400">
        <f>SUM(B7:B18)</f>
        <v>10288</v>
      </c>
      <c r="C19" s="401">
        <f>SUM(C7:C18)</f>
        <v>69944.569999999992</v>
      </c>
      <c r="D19" s="402">
        <f>SUM(D7:D18)</f>
        <v>11205</v>
      </c>
      <c r="E19" s="403">
        <f>SUM(E7:E18)</f>
        <v>96233.32</v>
      </c>
      <c r="F19" s="404">
        <f>D19/B19*100</f>
        <v>108.91329704510109</v>
      </c>
      <c r="G19" s="405">
        <f>E19/C19*100</f>
        <v>137.58511918795128</v>
      </c>
    </row>
    <row r="20" spans="1:7" ht="15.75" thickBot="1">
      <c r="E20" s="362"/>
    </row>
    <row r="21" spans="1:7" ht="15.75" thickBot="1">
      <c r="A21" s="406" t="s">
        <v>146</v>
      </c>
      <c r="B21" s="407"/>
      <c r="C21" s="408"/>
      <c r="D21" s="408"/>
      <c r="E21" s="362"/>
    </row>
    <row r="22" spans="1:7" ht="9.9499999999999993" customHeight="1" thickBot="1"/>
    <row r="23" spans="1:7" ht="15.75" thickBot="1">
      <c r="A23" s="409" t="s">
        <v>156</v>
      </c>
      <c r="B23" s="410"/>
      <c r="C23" s="411"/>
    </row>
  </sheetData>
  <mergeCells count="6">
    <mergeCell ref="A3:G3"/>
    <mergeCell ref="A5:A6"/>
    <mergeCell ref="B5:C5"/>
    <mergeCell ref="D5:E5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scale="80" pageOrder="overThenDown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4"/>
  <sheetViews>
    <sheetView workbookViewId="0">
      <selection activeCell="H1" sqref="H1"/>
    </sheetView>
  </sheetViews>
  <sheetFormatPr defaultRowHeight="15"/>
  <cols>
    <col min="1" max="1" width="21" style="347" customWidth="1"/>
    <col min="2" max="2" width="5" style="347" bestFit="1" customWidth="1"/>
    <col min="3" max="3" width="9.5703125" style="347" bestFit="1" customWidth="1"/>
    <col min="4" max="4" width="19.85546875" style="347" bestFit="1" customWidth="1"/>
    <col min="5" max="5" width="9.5703125" style="347" bestFit="1" customWidth="1"/>
    <col min="6" max="6" width="19.85546875" style="347" bestFit="1" customWidth="1"/>
    <col min="7" max="7" width="10.5703125" style="347" customWidth="1"/>
    <col min="8" max="8" width="19.42578125" style="347" bestFit="1" customWidth="1"/>
    <col min="9" max="10" width="10.7109375" style="347" customWidth="1"/>
    <col min="11" max="16384" width="9.140625" style="347"/>
  </cols>
  <sheetData>
    <row r="1" spans="1:10" ht="15.75" thickBot="1">
      <c r="A1" s="346" t="s">
        <v>64</v>
      </c>
      <c r="B1" s="346"/>
      <c r="I1" s="531"/>
      <c r="J1" s="530" t="s">
        <v>279</v>
      </c>
    </row>
    <row r="2" spans="1:10" ht="15.75" thickBot="1">
      <c r="A2" s="346"/>
      <c r="B2" s="346"/>
    </row>
    <row r="3" spans="1:10" ht="27" thickBot="1">
      <c r="A3" s="596" t="s">
        <v>185</v>
      </c>
      <c r="B3" s="597"/>
      <c r="C3" s="597"/>
      <c r="D3" s="597"/>
      <c r="E3" s="597"/>
      <c r="F3" s="597"/>
      <c r="G3" s="597"/>
      <c r="H3" s="597"/>
      <c r="I3" s="597"/>
      <c r="J3" s="598"/>
    </row>
    <row r="4" spans="1:10" ht="15.75" thickBot="1"/>
    <row r="5" spans="1:10" ht="86.25" customHeight="1" thickBot="1">
      <c r="A5" s="641" t="s">
        <v>184</v>
      </c>
      <c r="B5" s="642"/>
      <c r="C5" s="643" t="s">
        <v>140</v>
      </c>
      <c r="D5" s="644"/>
      <c r="E5" s="645" t="s">
        <v>141</v>
      </c>
      <c r="F5" s="646"/>
      <c r="G5" s="647" t="s">
        <v>183</v>
      </c>
      <c r="H5" s="648"/>
      <c r="I5" s="649" t="s">
        <v>182</v>
      </c>
      <c r="J5" s="650"/>
    </row>
    <row r="6" spans="1:10" ht="30.75" thickBot="1">
      <c r="A6" s="451"/>
      <c r="B6" s="450" t="s">
        <v>172</v>
      </c>
      <c r="C6" s="449" t="s">
        <v>181</v>
      </c>
      <c r="D6" s="448" t="s">
        <v>145</v>
      </c>
      <c r="E6" s="449" t="s">
        <v>181</v>
      </c>
      <c r="F6" s="448" t="s">
        <v>145</v>
      </c>
      <c r="G6" s="449" t="s">
        <v>181</v>
      </c>
      <c r="H6" s="448" t="s">
        <v>145</v>
      </c>
      <c r="I6" s="449" t="s">
        <v>181</v>
      </c>
      <c r="J6" s="448" t="s">
        <v>145</v>
      </c>
    </row>
    <row r="7" spans="1:10" ht="21.95" customHeight="1">
      <c r="A7" s="447" t="s">
        <v>168</v>
      </c>
      <c r="B7" s="447" t="s">
        <v>167</v>
      </c>
      <c r="C7" s="351">
        <v>180035</v>
      </c>
      <c r="D7" s="446">
        <v>661730.18000000005</v>
      </c>
      <c r="E7" s="351">
        <v>204032</v>
      </c>
      <c r="F7" s="446">
        <v>955874.33</v>
      </c>
      <c r="G7" s="351">
        <f t="shared" ref="G7:H10" si="0">E7-C7</f>
        <v>23997</v>
      </c>
      <c r="H7" s="445">
        <f t="shared" si="0"/>
        <v>294144.14999999991</v>
      </c>
      <c r="I7" s="444">
        <f t="shared" ref="I7:J10" si="1">G7/C7</f>
        <v>0.1332907490210237</v>
      </c>
      <c r="J7" s="443">
        <f t="shared" si="1"/>
        <v>0.4445076843858019</v>
      </c>
    </row>
    <row r="8" spans="1:10" ht="21.95" customHeight="1">
      <c r="A8" s="439" t="s">
        <v>180</v>
      </c>
      <c r="B8" s="439" t="s">
        <v>150</v>
      </c>
      <c r="C8" s="356">
        <v>1338206</v>
      </c>
      <c r="D8" s="438">
        <v>1194876.94</v>
      </c>
      <c r="E8" s="356">
        <v>1495303</v>
      </c>
      <c r="F8" s="438">
        <v>1337431.45</v>
      </c>
      <c r="G8" s="356">
        <f t="shared" si="0"/>
        <v>157097</v>
      </c>
      <c r="H8" s="442">
        <f t="shared" si="0"/>
        <v>142554.51</v>
      </c>
      <c r="I8" s="441">
        <f t="shared" si="1"/>
        <v>0.11739373459691557</v>
      </c>
      <c r="J8" s="440">
        <f t="shared" si="1"/>
        <v>0.11930476288210903</v>
      </c>
    </row>
    <row r="9" spans="1:10" ht="21.95" customHeight="1">
      <c r="A9" s="439" t="s">
        <v>165</v>
      </c>
      <c r="B9" s="439" t="s">
        <v>164</v>
      </c>
      <c r="C9" s="356">
        <v>10288</v>
      </c>
      <c r="D9" s="438">
        <v>69944.570000000007</v>
      </c>
      <c r="E9" s="356">
        <v>11205</v>
      </c>
      <c r="F9" s="438">
        <v>96233.32</v>
      </c>
      <c r="G9" s="356">
        <f t="shared" si="0"/>
        <v>917</v>
      </c>
      <c r="H9" s="442">
        <f t="shared" si="0"/>
        <v>26288.75</v>
      </c>
      <c r="I9" s="441">
        <f t="shared" si="1"/>
        <v>8.9132970451010887E-2</v>
      </c>
      <c r="J9" s="440">
        <f t="shared" si="1"/>
        <v>0.37585119187951255</v>
      </c>
    </row>
    <row r="10" spans="1:10" ht="21.95" customHeight="1" thickBot="1">
      <c r="A10" s="439" t="s">
        <v>179</v>
      </c>
      <c r="B10" s="439" t="s">
        <v>167</v>
      </c>
      <c r="C10" s="356">
        <v>14698</v>
      </c>
      <c r="D10" s="438">
        <v>458343.58</v>
      </c>
      <c r="E10" s="356">
        <v>15350</v>
      </c>
      <c r="F10" s="438">
        <v>487430.37</v>
      </c>
      <c r="G10" s="437">
        <f t="shared" si="0"/>
        <v>652</v>
      </c>
      <c r="H10" s="436">
        <f t="shared" si="0"/>
        <v>29086.789999999979</v>
      </c>
      <c r="I10" s="435">
        <f t="shared" si="1"/>
        <v>4.4359776840386445E-2</v>
      </c>
      <c r="J10" s="434">
        <f t="shared" si="1"/>
        <v>6.3460668522945116E-2</v>
      </c>
    </row>
    <row r="11" spans="1:10" ht="30" customHeight="1" thickBot="1">
      <c r="A11" s="368" t="s">
        <v>23</v>
      </c>
      <c r="B11" s="368"/>
      <c r="C11" s="369"/>
      <c r="D11" s="370">
        <f>SUM(D7:D10)</f>
        <v>2384895.27</v>
      </c>
      <c r="E11" s="402"/>
      <c r="F11" s="403">
        <f>SUM(F7:F10)</f>
        <v>2876969.4699999997</v>
      </c>
      <c r="G11" s="433"/>
      <c r="H11" s="432">
        <f>SUM(H7:H10)</f>
        <v>492074.1999999999</v>
      </c>
      <c r="I11" s="431"/>
      <c r="J11" s="430">
        <f>H11/D11</f>
        <v>0.20632947961693929</v>
      </c>
    </row>
    <row r="12" spans="1:10" ht="15.75" thickBot="1">
      <c r="F12" s="362"/>
    </row>
    <row r="13" spans="1:10" ht="15.75" thickBot="1">
      <c r="A13" s="375" t="s">
        <v>146</v>
      </c>
      <c r="B13" s="376"/>
      <c r="C13" s="376"/>
      <c r="D13" s="377"/>
      <c r="E13" s="429"/>
      <c r="F13" s="362"/>
    </row>
    <row r="14" spans="1:10">
      <c r="E14" s="361"/>
    </row>
    <row r="15" spans="1:10">
      <c r="A15" s="347" t="s">
        <v>178</v>
      </c>
      <c r="E15" s="361"/>
    </row>
    <row r="16" spans="1:10">
      <c r="A16" s="347" t="s">
        <v>177</v>
      </c>
      <c r="E16" s="361"/>
    </row>
    <row r="17" spans="1:9">
      <c r="A17" s="347" t="s">
        <v>176</v>
      </c>
      <c r="E17" s="361"/>
    </row>
    <row r="18" spans="1:9">
      <c r="A18" s="347" t="s">
        <v>175</v>
      </c>
      <c r="E18" s="361"/>
    </row>
    <row r="19" spans="1:9">
      <c r="A19" s="452" t="s">
        <v>174</v>
      </c>
      <c r="B19" s="452"/>
      <c r="C19" s="452"/>
      <c r="D19" s="452"/>
      <c r="E19" s="453"/>
      <c r="F19" s="452"/>
      <c r="G19" s="452"/>
      <c r="H19" s="452"/>
      <c r="I19" s="452"/>
    </row>
    <row r="20" spans="1:9" ht="15.75" thickBot="1">
      <c r="E20" s="361"/>
    </row>
    <row r="21" spans="1:9" ht="30">
      <c r="A21" s="428" t="s">
        <v>173</v>
      </c>
      <c r="B21" s="427" t="s">
        <v>172</v>
      </c>
      <c r="C21" s="634" t="s">
        <v>171</v>
      </c>
      <c r="D21" s="634"/>
      <c r="E21" s="635" t="s">
        <v>170</v>
      </c>
      <c r="F21" s="636"/>
      <c r="G21" s="426" t="s">
        <v>169</v>
      </c>
    </row>
    <row r="22" spans="1:9">
      <c r="A22" s="425" t="s">
        <v>168</v>
      </c>
      <c r="B22" s="424" t="s">
        <v>167</v>
      </c>
      <c r="C22" s="637">
        <v>2.4239999999999999</v>
      </c>
      <c r="D22" s="637"/>
      <c r="E22" s="637">
        <v>4.3360000000000003</v>
      </c>
      <c r="F22" s="639"/>
      <c r="G22" s="423" t="s">
        <v>166</v>
      </c>
    </row>
    <row r="23" spans="1:9" ht="15.75" thickBot="1">
      <c r="A23" s="422" t="s">
        <v>165</v>
      </c>
      <c r="B23" s="421" t="s">
        <v>164</v>
      </c>
      <c r="C23" s="638">
        <v>6.56</v>
      </c>
      <c r="D23" s="638"/>
      <c r="E23" s="638">
        <v>7.8</v>
      </c>
      <c r="F23" s="640"/>
      <c r="G23" s="420" t="s">
        <v>163</v>
      </c>
    </row>
    <row r="24" spans="1:9">
      <c r="E24" s="361"/>
    </row>
  </sheetData>
  <mergeCells count="12">
    <mergeCell ref="A3:J3"/>
    <mergeCell ref="A5:B5"/>
    <mergeCell ref="C5:D5"/>
    <mergeCell ref="E5:F5"/>
    <mergeCell ref="G5:H5"/>
    <mergeCell ref="I5:J5"/>
    <mergeCell ref="C21:D21"/>
    <mergeCell ref="E21:F21"/>
    <mergeCell ref="C22:D22"/>
    <mergeCell ref="C23:D23"/>
    <mergeCell ref="E22:F22"/>
    <mergeCell ref="E23:F23"/>
  </mergeCells>
  <pageMargins left="0.70866141732283472" right="0.70866141732283472" top="0.74803149606299213" bottom="0.74803149606299213" header="0.31496062992125984" footer="0.31496062992125984"/>
  <pageSetup paperSize="9" scale="95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15</vt:i4>
      </vt:variant>
    </vt:vector>
  </HeadingPairs>
  <TitlesOfParts>
    <vt:vector size="15" baseType="lpstr"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</vt:lpstr>
      <vt:lpstr>tab 10</vt:lpstr>
      <vt:lpstr>tab 11</vt:lpstr>
      <vt:lpstr>tab 12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2022-02-17T13:39:31Z</dcterms:modified>
</cp:coreProperties>
</file>