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4240" windowHeight="13740" firstSheet="4" activeTab="4"/>
  </bookViews>
  <sheets>
    <sheet name="Sažetak općeg dijela" sheetId="9" r:id="rId1"/>
    <sheet name="Opći dio - Prihodi" sheetId="7" r:id="rId2"/>
    <sheet name="Opći dio - Rashodi" sheetId="6" r:id="rId3"/>
    <sheet name="Plan prih.2021-2023 po izvorima" sheetId="10" r:id="rId4"/>
    <sheet name="Plan rash.i izd.2021 po izvori " sheetId="11" r:id="rId5"/>
    <sheet name="Plan rash.i izd.2022 po izvorim" sheetId="12" r:id="rId6"/>
    <sheet name="Plan rash.i izd.2023 po izvorim" sheetId="13" r:id="rId7"/>
    <sheet name="rashodi po god. 21-23" sheetId="14" r:id="rId8"/>
  </sheets>
  <definedNames>
    <definedName name="_xlnm._FilterDatabase" localSheetId="1" hidden="1">'Opći dio - Prihodi'!$A$2:$F$32</definedName>
    <definedName name="_xlnm._FilterDatabase" localSheetId="2" hidden="1">'Opći dio - Rashodi'!$A$2:$F$46</definedName>
    <definedName name="_xlnm.Print_Titles" localSheetId="4">'Plan rash.i izd.2021 po izvori '!$1:$4</definedName>
    <definedName name="_xlnm.Print_Titles" localSheetId="5">'Plan rash.i izd.2022 po izvorim'!$1:$4</definedName>
    <definedName name="_xlnm.Print_Titles" localSheetId="6">'Plan rash.i izd.2023 po izvorim'!$1:$4</definedName>
    <definedName name="_xlnm.Print_Titles" localSheetId="7">'rashodi po god. 21-23'!$3:$3</definedName>
    <definedName name="_xlnm.Print_Area" localSheetId="4">'Plan rash.i izd.2021 po izvori '!$A$1:$N$144</definedName>
    <definedName name="_xlnm.Print_Area" localSheetId="0">'Sažetak općeg dijela'!$A$1:$I$29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6"/>
  <c r="F3"/>
  <c r="E4"/>
  <c r="F4"/>
  <c r="D3"/>
  <c r="O73" i="14"/>
  <c r="N73"/>
  <c r="M73"/>
  <c r="L73"/>
  <c r="K73"/>
  <c r="J73"/>
  <c r="I73"/>
  <c r="H73"/>
  <c r="G73"/>
  <c r="F73"/>
  <c r="E73"/>
  <c r="D73"/>
  <c r="O72"/>
  <c r="N72"/>
  <c r="M72"/>
  <c r="L72"/>
  <c r="K72"/>
  <c r="J72"/>
  <c r="I72"/>
  <c r="H72"/>
  <c r="G72"/>
  <c r="F72"/>
  <c r="E72"/>
  <c r="D72"/>
  <c r="O71"/>
  <c r="N71"/>
  <c r="M71"/>
  <c r="L71"/>
  <c r="K71"/>
  <c r="J71"/>
  <c r="I71"/>
  <c r="H71"/>
  <c r="G71"/>
  <c r="F71"/>
  <c r="E71"/>
  <c r="D71"/>
  <c r="A70"/>
  <c r="K69"/>
  <c r="K68" s="1"/>
  <c r="A69"/>
  <c r="O68"/>
  <c r="N68"/>
  <c r="M68"/>
  <c r="L68"/>
  <c r="J68"/>
  <c r="I68"/>
  <c r="H68"/>
  <c r="G68"/>
  <c r="F68"/>
  <c r="E68"/>
  <c r="D68"/>
  <c r="A68"/>
  <c r="O67"/>
  <c r="K67"/>
  <c r="G67"/>
  <c r="D67"/>
  <c r="A67"/>
  <c r="A66"/>
  <c r="K65"/>
  <c r="G65"/>
  <c r="G61" s="1"/>
  <c r="G60" s="1"/>
  <c r="D65"/>
  <c r="D61" s="1"/>
  <c r="D60" s="1"/>
  <c r="D56" s="1"/>
  <c r="D75" s="1"/>
  <c r="A65"/>
  <c r="O64"/>
  <c r="K64"/>
  <c r="A64"/>
  <c r="O63"/>
  <c r="O61" s="1"/>
  <c r="O60" s="1"/>
  <c r="K63"/>
  <c r="A63"/>
  <c r="K62"/>
  <c r="K61" s="1"/>
  <c r="K60" s="1"/>
  <c r="A62"/>
  <c r="N61"/>
  <c r="M61"/>
  <c r="M60" s="1"/>
  <c r="M56" s="1"/>
  <c r="L61"/>
  <c r="L60" s="1"/>
  <c r="J61"/>
  <c r="I61"/>
  <c r="I60" s="1"/>
  <c r="I56" s="1"/>
  <c r="I75" s="1"/>
  <c r="H61"/>
  <c r="H60" s="1"/>
  <c r="H56" s="1"/>
  <c r="F61"/>
  <c r="E61"/>
  <c r="E60" s="1"/>
  <c r="E56" s="1"/>
  <c r="A61"/>
  <c r="N60"/>
  <c r="J60"/>
  <c r="F60"/>
  <c r="A60"/>
  <c r="O59"/>
  <c r="O58" s="1"/>
  <c r="O57" s="1"/>
  <c r="O56" s="1"/>
  <c r="K59"/>
  <c r="A59"/>
  <c r="N58"/>
  <c r="N57" s="1"/>
  <c r="N56" s="1"/>
  <c r="M58"/>
  <c r="L58"/>
  <c r="L57" s="1"/>
  <c r="K58"/>
  <c r="J58"/>
  <c r="J57" s="1"/>
  <c r="J56" s="1"/>
  <c r="J75" s="1"/>
  <c r="I58"/>
  <c r="H58"/>
  <c r="G58"/>
  <c r="F58"/>
  <c r="F57" s="1"/>
  <c r="F56" s="1"/>
  <c r="E58"/>
  <c r="D58"/>
  <c r="A58"/>
  <c r="M57"/>
  <c r="K57"/>
  <c r="I57"/>
  <c r="H57"/>
  <c r="G57"/>
  <c r="G56" s="1"/>
  <c r="E57"/>
  <c r="D57"/>
  <c r="A57"/>
  <c r="A56"/>
  <c r="M55"/>
  <c r="J55"/>
  <c r="I55"/>
  <c r="F55"/>
  <c r="E55"/>
  <c r="A54"/>
  <c r="N53"/>
  <c r="J53"/>
  <c r="F53"/>
  <c r="A53"/>
  <c r="N52"/>
  <c r="N51" s="1"/>
  <c r="N48" s="1"/>
  <c r="J52"/>
  <c r="I52"/>
  <c r="F52"/>
  <c r="E52"/>
  <c r="A52"/>
  <c r="O51"/>
  <c r="O48" s="1"/>
  <c r="O4" s="1"/>
  <c r="M51"/>
  <c r="L51"/>
  <c r="K51"/>
  <c r="K48" s="1"/>
  <c r="K4" s="1"/>
  <c r="J51"/>
  <c r="I51"/>
  <c r="H51"/>
  <c r="G51"/>
  <c r="G48" s="1"/>
  <c r="G4" s="1"/>
  <c r="F51"/>
  <c r="E51"/>
  <c r="D51"/>
  <c r="A51"/>
  <c r="J50"/>
  <c r="J49" s="1"/>
  <c r="J48" s="1"/>
  <c r="F50"/>
  <c r="F49" s="1"/>
  <c r="F48" s="1"/>
  <c r="O49"/>
  <c r="N49"/>
  <c r="M49"/>
  <c r="L49"/>
  <c r="K49"/>
  <c r="I49"/>
  <c r="H49"/>
  <c r="G49"/>
  <c r="E49"/>
  <c r="D49"/>
  <c r="M48"/>
  <c r="L48"/>
  <c r="I48"/>
  <c r="H48"/>
  <c r="E48"/>
  <c r="D48"/>
  <c r="A48"/>
  <c r="N47"/>
  <c r="M47"/>
  <c r="J47"/>
  <c r="I47"/>
  <c r="F47"/>
  <c r="E47"/>
  <c r="A47"/>
  <c r="A46"/>
  <c r="N45"/>
  <c r="N40" s="1"/>
  <c r="N15" s="1"/>
  <c r="M45"/>
  <c r="L45"/>
  <c r="J45"/>
  <c r="I45"/>
  <c r="H45"/>
  <c r="F45"/>
  <c r="E45"/>
  <c r="D45"/>
  <c r="A45"/>
  <c r="M44"/>
  <c r="J44"/>
  <c r="I44"/>
  <c r="F44"/>
  <c r="F40" s="1"/>
  <c r="F15" s="1"/>
  <c r="E44"/>
  <c r="A44"/>
  <c r="J43"/>
  <c r="D43"/>
  <c r="A43"/>
  <c r="N42"/>
  <c r="M42"/>
  <c r="J42"/>
  <c r="J40" s="1"/>
  <c r="J15" s="1"/>
  <c r="I42"/>
  <c r="F42"/>
  <c r="E42"/>
  <c r="A42"/>
  <c r="M41"/>
  <c r="M40" s="1"/>
  <c r="M15" s="1"/>
  <c r="I41"/>
  <c r="E41"/>
  <c r="A41"/>
  <c r="O40"/>
  <c r="L40"/>
  <c r="K40"/>
  <c r="I40"/>
  <c r="H40"/>
  <c r="G40"/>
  <c r="E40"/>
  <c r="D40"/>
  <c r="A40"/>
  <c r="E39"/>
  <c r="A39"/>
  <c r="O38"/>
  <c r="N38"/>
  <c r="M38"/>
  <c r="L38"/>
  <c r="K38"/>
  <c r="J38"/>
  <c r="I38"/>
  <c r="H38"/>
  <c r="G38"/>
  <c r="F38"/>
  <c r="E38"/>
  <c r="D38"/>
  <c r="A38"/>
  <c r="N37"/>
  <c r="M37"/>
  <c r="J37"/>
  <c r="I37"/>
  <c r="F37"/>
  <c r="E37"/>
  <c r="A37"/>
  <c r="N36"/>
  <c r="M36"/>
  <c r="J36"/>
  <c r="I36"/>
  <c r="F36"/>
  <c r="E36"/>
  <c r="A36"/>
  <c r="N35"/>
  <c r="M35"/>
  <c r="J35"/>
  <c r="I35"/>
  <c r="F35"/>
  <c r="E35"/>
  <c r="A35"/>
  <c r="N34"/>
  <c r="M34"/>
  <c r="J34"/>
  <c r="I34"/>
  <c r="F34"/>
  <c r="E34"/>
  <c r="A34"/>
  <c r="N33"/>
  <c r="M33"/>
  <c r="J33"/>
  <c r="I33"/>
  <c r="F33"/>
  <c r="E33"/>
  <c r="A33"/>
  <c r="N32"/>
  <c r="M32"/>
  <c r="J32"/>
  <c r="I32"/>
  <c r="F32"/>
  <c r="E32"/>
  <c r="A32"/>
  <c r="N31"/>
  <c r="M31"/>
  <c r="J31"/>
  <c r="I31"/>
  <c r="F31"/>
  <c r="E31"/>
  <c r="A31"/>
  <c r="N30"/>
  <c r="M30"/>
  <c r="L30"/>
  <c r="K30"/>
  <c r="J30"/>
  <c r="I30"/>
  <c r="H30"/>
  <c r="F30"/>
  <c r="E30"/>
  <c r="D30"/>
  <c r="A30"/>
  <c r="N29"/>
  <c r="M29"/>
  <c r="J29"/>
  <c r="I29"/>
  <c r="F29"/>
  <c r="E29"/>
  <c r="A29"/>
  <c r="O28"/>
  <c r="N28"/>
  <c r="M28"/>
  <c r="L28"/>
  <c r="K28"/>
  <c r="J28"/>
  <c r="I28"/>
  <c r="H28"/>
  <c r="G28"/>
  <c r="F28"/>
  <c r="E28"/>
  <c r="D28"/>
  <c r="A28"/>
  <c r="N27"/>
  <c r="M27"/>
  <c r="J27"/>
  <c r="I27"/>
  <c r="F27"/>
  <c r="E27"/>
  <c r="A27"/>
  <c r="N26"/>
  <c r="M26"/>
  <c r="J26"/>
  <c r="I26"/>
  <c r="F26"/>
  <c r="E26"/>
  <c r="A26"/>
  <c r="N25"/>
  <c r="M25"/>
  <c r="L25"/>
  <c r="J25"/>
  <c r="I25"/>
  <c r="H25"/>
  <c r="F25"/>
  <c r="E25"/>
  <c r="D25"/>
  <c r="A25"/>
  <c r="N24"/>
  <c r="M24"/>
  <c r="J24"/>
  <c r="I24"/>
  <c r="F24"/>
  <c r="E24"/>
  <c r="A24"/>
  <c r="N23"/>
  <c r="M23"/>
  <c r="J23"/>
  <c r="I23"/>
  <c r="F23"/>
  <c r="E23"/>
  <c r="D23"/>
  <c r="A23"/>
  <c r="N22"/>
  <c r="M22"/>
  <c r="J22"/>
  <c r="I22"/>
  <c r="F22"/>
  <c r="E22"/>
  <c r="A22"/>
  <c r="O21"/>
  <c r="N21"/>
  <c r="M21"/>
  <c r="L21"/>
  <c r="K21"/>
  <c r="J21"/>
  <c r="I21"/>
  <c r="H21"/>
  <c r="G21"/>
  <c r="F21"/>
  <c r="E21"/>
  <c r="D21"/>
  <c r="A21"/>
  <c r="A20"/>
  <c r="N19"/>
  <c r="M19"/>
  <c r="J19"/>
  <c r="I19"/>
  <c r="F19"/>
  <c r="E19"/>
  <c r="A19"/>
  <c r="N18"/>
  <c r="M18"/>
  <c r="J18"/>
  <c r="I18"/>
  <c r="F18"/>
  <c r="E18"/>
  <c r="A18"/>
  <c r="N17"/>
  <c r="M17"/>
  <c r="J17"/>
  <c r="I17"/>
  <c r="F17"/>
  <c r="E17"/>
  <c r="A17"/>
  <c r="O16"/>
  <c r="N16"/>
  <c r="M16"/>
  <c r="L16"/>
  <c r="K16"/>
  <c r="J16"/>
  <c r="I16"/>
  <c r="H16"/>
  <c r="G16"/>
  <c r="F16"/>
  <c r="E16"/>
  <c r="D16"/>
  <c r="A16"/>
  <c r="O15"/>
  <c r="L15"/>
  <c r="K15"/>
  <c r="I15"/>
  <c r="H15"/>
  <c r="G15"/>
  <c r="E15"/>
  <c r="D15"/>
  <c r="A15"/>
  <c r="N13"/>
  <c r="J13"/>
  <c r="F13"/>
  <c r="E13"/>
  <c r="A13"/>
  <c r="O12"/>
  <c r="N12"/>
  <c r="M12"/>
  <c r="L12"/>
  <c r="K12"/>
  <c r="J12"/>
  <c r="I12"/>
  <c r="H12"/>
  <c r="G12"/>
  <c r="F12"/>
  <c r="E12"/>
  <c r="D12"/>
  <c r="A12"/>
  <c r="N11"/>
  <c r="M11"/>
  <c r="J11"/>
  <c r="F11"/>
  <c r="E11"/>
  <c r="A11"/>
  <c r="O10"/>
  <c r="N10"/>
  <c r="M10"/>
  <c r="L10"/>
  <c r="K10"/>
  <c r="J10"/>
  <c r="I10"/>
  <c r="H10"/>
  <c r="G10"/>
  <c r="F10"/>
  <c r="E10"/>
  <c r="D10"/>
  <c r="A10"/>
  <c r="N9"/>
  <c r="N6" s="1"/>
  <c r="N5" s="1"/>
  <c r="N4" s="1"/>
  <c r="M9"/>
  <c r="J9"/>
  <c r="I9"/>
  <c r="F9"/>
  <c r="F6" s="1"/>
  <c r="F5" s="1"/>
  <c r="F4" s="1"/>
  <c r="E9"/>
  <c r="A9"/>
  <c r="E8"/>
  <c r="A8"/>
  <c r="N7"/>
  <c r="M7"/>
  <c r="L7"/>
  <c r="L6" s="1"/>
  <c r="L5" s="1"/>
  <c r="L4" s="1"/>
  <c r="I7"/>
  <c r="H7"/>
  <c r="F7"/>
  <c r="E7"/>
  <c r="A7"/>
  <c r="O6"/>
  <c r="M6"/>
  <c r="M5" s="1"/>
  <c r="M4" s="1"/>
  <c r="K6"/>
  <c r="J6"/>
  <c r="I6"/>
  <c r="I5" s="1"/>
  <c r="I4" s="1"/>
  <c r="H6"/>
  <c r="H5" s="1"/>
  <c r="H4" s="1"/>
  <c r="G6"/>
  <c r="E6"/>
  <c r="E5" s="1"/>
  <c r="E4" s="1"/>
  <c r="D6"/>
  <c r="D5" s="1"/>
  <c r="D4" s="1"/>
  <c r="A6"/>
  <c r="O5"/>
  <c r="K5"/>
  <c r="J5"/>
  <c r="J4" s="1"/>
  <c r="G5"/>
  <c r="A5"/>
  <c r="A4"/>
  <c r="E75" l="1"/>
  <c r="G75"/>
  <c r="F75"/>
  <c r="N75"/>
  <c r="K56"/>
  <c r="K75" s="1"/>
  <c r="O75"/>
  <c r="H75"/>
  <c r="M75"/>
  <c r="L56"/>
  <c r="L75" s="1"/>
  <c r="C12" i="10" l="1"/>
  <c r="F8" i="9"/>
  <c r="F11"/>
  <c r="D19" i="7"/>
  <c r="F19" l="1"/>
  <c r="F14"/>
  <c r="F74" i="13"/>
  <c r="C74" s="1"/>
  <c r="G28"/>
  <c r="C28" s="1"/>
  <c r="G22"/>
  <c r="F68"/>
  <c r="F118"/>
  <c r="F112" s="1"/>
  <c r="G18"/>
  <c r="G15"/>
  <c r="C15" s="1"/>
  <c r="G13"/>
  <c r="C13" s="1"/>
  <c r="G12"/>
  <c r="C12" s="1"/>
  <c r="G9"/>
  <c r="C9" s="1"/>
  <c r="M135"/>
  <c r="K135"/>
  <c r="I135"/>
  <c r="G135"/>
  <c r="E135"/>
  <c r="C130"/>
  <c r="C126"/>
  <c r="N125"/>
  <c r="M125"/>
  <c r="L125"/>
  <c r="K125"/>
  <c r="J125"/>
  <c r="I125"/>
  <c r="H125"/>
  <c r="G125"/>
  <c r="F125"/>
  <c r="E125"/>
  <c r="D125"/>
  <c r="C125"/>
  <c r="C124"/>
  <c r="C123"/>
  <c r="C122"/>
  <c r="C121"/>
  <c r="C120"/>
  <c r="C119"/>
  <c r="C117"/>
  <c r="C116"/>
  <c r="C115"/>
  <c r="C114"/>
  <c r="C113"/>
  <c r="N112"/>
  <c r="M112"/>
  <c r="L112"/>
  <c r="K112"/>
  <c r="J112"/>
  <c r="I112"/>
  <c r="H112"/>
  <c r="G112"/>
  <c r="E112"/>
  <c r="D112"/>
  <c r="C111"/>
  <c r="C110"/>
  <c r="C109"/>
  <c r="C108"/>
  <c r="C107"/>
  <c r="C106"/>
  <c r="C105"/>
  <c r="C104"/>
  <c r="C103"/>
  <c r="C102"/>
  <c r="C101"/>
  <c r="C100"/>
  <c r="C98" s="1"/>
  <c r="C99"/>
  <c r="N98"/>
  <c r="N136" s="1"/>
  <c r="M98"/>
  <c r="M136" s="1"/>
  <c r="L98"/>
  <c r="L136" s="1"/>
  <c r="K98"/>
  <c r="K136" s="1"/>
  <c r="J98"/>
  <c r="J136" s="1"/>
  <c r="I98"/>
  <c r="I136" s="1"/>
  <c r="H98"/>
  <c r="H136" s="1"/>
  <c r="G98"/>
  <c r="G136" s="1"/>
  <c r="F98"/>
  <c r="E98"/>
  <c r="D98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N54"/>
  <c r="N135" s="1"/>
  <c r="M54"/>
  <c r="L54"/>
  <c r="L135" s="1"/>
  <c r="K54"/>
  <c r="J54"/>
  <c r="J135" s="1"/>
  <c r="I54"/>
  <c r="H54"/>
  <c r="H135" s="1"/>
  <c r="G54"/>
  <c r="E54"/>
  <c r="D54"/>
  <c r="D135" s="1"/>
  <c r="C52"/>
  <c r="C51"/>
  <c r="C50"/>
  <c r="C49"/>
  <c r="C48"/>
  <c r="C47"/>
  <c r="C45" s="1"/>
  <c r="C46"/>
  <c r="N45"/>
  <c r="M45"/>
  <c r="M134" s="1"/>
  <c r="M137" s="1"/>
  <c r="L45"/>
  <c r="K45"/>
  <c r="K134" s="1"/>
  <c r="K137" s="1"/>
  <c r="J45"/>
  <c r="I45"/>
  <c r="H45"/>
  <c r="G45"/>
  <c r="F45"/>
  <c r="E45"/>
  <c r="E134" s="1"/>
  <c r="D45"/>
  <c r="C44"/>
  <c r="C43"/>
  <c r="C42"/>
  <c r="C41"/>
  <c r="C40"/>
  <c r="C39"/>
  <c r="C38"/>
  <c r="C37"/>
  <c r="C36"/>
  <c r="G35"/>
  <c r="C35" s="1"/>
  <c r="G34"/>
  <c r="C34" s="1"/>
  <c r="G33"/>
  <c r="C33" s="1"/>
  <c r="C32"/>
  <c r="G31"/>
  <c r="C31"/>
  <c r="C30"/>
  <c r="C29"/>
  <c r="C27"/>
  <c r="C26"/>
  <c r="G25"/>
  <c r="C25"/>
  <c r="C24"/>
  <c r="C23"/>
  <c r="I22"/>
  <c r="C21"/>
  <c r="G20"/>
  <c r="C20" s="1"/>
  <c r="G19"/>
  <c r="C19" s="1"/>
  <c r="C18"/>
  <c r="G17"/>
  <c r="C17" s="1"/>
  <c r="C16"/>
  <c r="C14"/>
  <c r="C11"/>
  <c r="C10"/>
  <c r="N8"/>
  <c r="N134" s="1"/>
  <c r="M8"/>
  <c r="L8"/>
  <c r="L134" s="1"/>
  <c r="K8"/>
  <c r="J8"/>
  <c r="J134" s="1"/>
  <c r="H8"/>
  <c r="H134" s="1"/>
  <c r="H137" s="1"/>
  <c r="F8"/>
  <c r="F134" s="1"/>
  <c r="E8"/>
  <c r="D8"/>
  <c r="D134" s="1"/>
  <c r="L135" i="12"/>
  <c r="H135"/>
  <c r="D135"/>
  <c r="L134"/>
  <c r="H134"/>
  <c r="D134"/>
  <c r="C130"/>
  <c r="C126"/>
  <c r="N125"/>
  <c r="M125"/>
  <c r="L125"/>
  <c r="K125"/>
  <c r="J125"/>
  <c r="I125"/>
  <c r="H125"/>
  <c r="G125"/>
  <c r="F125"/>
  <c r="E125"/>
  <c r="D125"/>
  <c r="C125"/>
  <c r="C124"/>
  <c r="C123"/>
  <c r="C122"/>
  <c r="C121"/>
  <c r="C120"/>
  <c r="C119"/>
  <c r="F118"/>
  <c r="C118" s="1"/>
  <c r="C117"/>
  <c r="C116"/>
  <c r="C115"/>
  <c r="C114"/>
  <c r="C113"/>
  <c r="N112"/>
  <c r="M112"/>
  <c r="L112"/>
  <c r="K112"/>
  <c r="J112"/>
  <c r="I112"/>
  <c r="H112"/>
  <c r="G112"/>
  <c r="F112"/>
  <c r="E112"/>
  <c r="D112"/>
  <c r="C111"/>
  <c r="C110"/>
  <c r="C109"/>
  <c r="C108"/>
  <c r="C107"/>
  <c r="C106"/>
  <c r="C105"/>
  <c r="C104"/>
  <c r="C103"/>
  <c r="C102"/>
  <c r="C101"/>
  <c r="C100"/>
  <c r="C99"/>
  <c r="N98"/>
  <c r="N136" s="1"/>
  <c r="M98"/>
  <c r="M136" s="1"/>
  <c r="L98"/>
  <c r="L136" s="1"/>
  <c r="K98"/>
  <c r="K136" s="1"/>
  <c r="J98"/>
  <c r="J136" s="1"/>
  <c r="I98"/>
  <c r="I136" s="1"/>
  <c r="H98"/>
  <c r="H136" s="1"/>
  <c r="G98"/>
  <c r="G136" s="1"/>
  <c r="F98"/>
  <c r="F136" s="1"/>
  <c r="E98"/>
  <c r="E136" s="1"/>
  <c r="D98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F74"/>
  <c r="C74"/>
  <c r="C73"/>
  <c r="C72"/>
  <c r="C71"/>
  <c r="C70"/>
  <c r="C69"/>
  <c r="F68"/>
  <c r="C68"/>
  <c r="C67"/>
  <c r="C66"/>
  <c r="C65"/>
  <c r="C64"/>
  <c r="C63"/>
  <c r="C62"/>
  <c r="C61"/>
  <c r="C60"/>
  <c r="C59"/>
  <c r="C58"/>
  <c r="C57"/>
  <c r="C56"/>
  <c r="C55"/>
  <c r="N54"/>
  <c r="N135" s="1"/>
  <c r="M54"/>
  <c r="M135" s="1"/>
  <c r="L54"/>
  <c r="K54"/>
  <c r="K135" s="1"/>
  <c r="J54"/>
  <c r="J135" s="1"/>
  <c r="I54"/>
  <c r="I135" s="1"/>
  <c r="H54"/>
  <c r="G54"/>
  <c r="G135" s="1"/>
  <c r="F54"/>
  <c r="F135" s="1"/>
  <c r="E54"/>
  <c r="E135" s="1"/>
  <c r="D54"/>
  <c r="C54"/>
  <c r="C52"/>
  <c r="C51"/>
  <c r="C50"/>
  <c r="C49"/>
  <c r="C48"/>
  <c r="C45" s="1"/>
  <c r="C47"/>
  <c r="C46"/>
  <c r="N45"/>
  <c r="M45"/>
  <c r="L45"/>
  <c r="K45"/>
  <c r="J45"/>
  <c r="I45"/>
  <c r="H45"/>
  <c r="G45"/>
  <c r="F45"/>
  <c r="E45"/>
  <c r="D45"/>
  <c r="C44"/>
  <c r="C43"/>
  <c r="C42"/>
  <c r="C41"/>
  <c r="C40"/>
  <c r="C39"/>
  <c r="C38"/>
  <c r="C37"/>
  <c r="C36"/>
  <c r="G35"/>
  <c r="C35" s="1"/>
  <c r="G34"/>
  <c r="C34"/>
  <c r="G33"/>
  <c r="C33" s="1"/>
  <c r="C32"/>
  <c r="G31"/>
  <c r="C31" s="1"/>
  <c r="C30"/>
  <c r="C29"/>
  <c r="G28"/>
  <c r="C28" s="1"/>
  <c r="C27"/>
  <c r="C26"/>
  <c r="G25"/>
  <c r="C25" s="1"/>
  <c r="C24"/>
  <c r="G23"/>
  <c r="C23"/>
  <c r="I22"/>
  <c r="I8" s="1"/>
  <c r="G22"/>
  <c r="C22" s="1"/>
  <c r="C21"/>
  <c r="G20"/>
  <c r="C20" s="1"/>
  <c r="G19"/>
  <c r="C19"/>
  <c r="G18"/>
  <c r="C18" s="1"/>
  <c r="G17"/>
  <c r="C17"/>
  <c r="C16"/>
  <c r="G15"/>
  <c r="C15" s="1"/>
  <c r="C14"/>
  <c r="G13"/>
  <c r="C13" s="1"/>
  <c r="G12"/>
  <c r="C12"/>
  <c r="C11"/>
  <c r="C10"/>
  <c r="G9"/>
  <c r="C9"/>
  <c r="N8"/>
  <c r="N134" s="1"/>
  <c r="M8"/>
  <c r="M134" s="1"/>
  <c r="L8"/>
  <c r="K8"/>
  <c r="K134" s="1"/>
  <c r="J8"/>
  <c r="J134" s="1"/>
  <c r="H8"/>
  <c r="G8"/>
  <c r="G134" s="1"/>
  <c r="G137" s="1"/>
  <c r="F8"/>
  <c r="F134" s="1"/>
  <c r="F137" s="1"/>
  <c r="E8"/>
  <c r="E134" s="1"/>
  <c r="D8"/>
  <c r="C98" l="1"/>
  <c r="D136"/>
  <c r="C136" s="1"/>
  <c r="E137" i="13"/>
  <c r="E136"/>
  <c r="D136"/>
  <c r="D137" s="1"/>
  <c r="F54"/>
  <c r="F135" s="1"/>
  <c r="C135" s="1"/>
  <c r="F136"/>
  <c r="C54"/>
  <c r="C22"/>
  <c r="C8" s="1"/>
  <c r="J137"/>
  <c r="N137"/>
  <c r="L137"/>
  <c r="I8"/>
  <c r="C118"/>
  <c r="C112" s="1"/>
  <c r="J129"/>
  <c r="J131" s="1"/>
  <c r="N129"/>
  <c r="N131" s="1"/>
  <c r="E129"/>
  <c r="E131" s="1"/>
  <c r="M129"/>
  <c r="M131" s="1"/>
  <c r="G8"/>
  <c r="D129"/>
  <c r="H129"/>
  <c r="H131" s="1"/>
  <c r="L129"/>
  <c r="L131" s="1"/>
  <c r="K129"/>
  <c r="K131" s="1"/>
  <c r="C135" i="12"/>
  <c r="L137"/>
  <c r="E137"/>
  <c r="J137"/>
  <c r="N137"/>
  <c r="H137"/>
  <c r="I134"/>
  <c r="I137" s="1"/>
  <c r="I129"/>
  <c r="I131" s="1"/>
  <c r="K137"/>
  <c r="M137"/>
  <c r="C8"/>
  <c r="C129" s="1"/>
  <c r="C131" s="1"/>
  <c r="C112"/>
  <c r="F129"/>
  <c r="F131" s="1"/>
  <c r="J129"/>
  <c r="J131" s="1"/>
  <c r="N129"/>
  <c r="N131" s="1"/>
  <c r="E129"/>
  <c r="E131" s="1"/>
  <c r="M129"/>
  <c r="M131" s="1"/>
  <c r="D129"/>
  <c r="H129"/>
  <c r="H131" s="1"/>
  <c r="L129"/>
  <c r="L131" s="1"/>
  <c r="G129"/>
  <c r="G131" s="1"/>
  <c r="K129"/>
  <c r="K131" s="1"/>
  <c r="D137" l="1"/>
  <c r="C136" i="13"/>
  <c r="F129"/>
  <c r="F131" s="1"/>
  <c r="F137"/>
  <c r="C129"/>
  <c r="C131" s="1"/>
  <c r="I134"/>
  <c r="I137" s="1"/>
  <c r="I129"/>
  <c r="I131" s="1"/>
  <c r="G134"/>
  <c r="G129"/>
  <c r="G131" s="1"/>
  <c r="C134" i="12"/>
  <c r="C137" s="1"/>
  <c r="G137" i="13" l="1"/>
  <c r="C134"/>
  <c r="C137" s="1"/>
  <c r="I79" i="10" l="1"/>
  <c r="H79"/>
  <c r="G79"/>
  <c r="F79"/>
  <c r="E79"/>
  <c r="D79"/>
  <c r="B79"/>
  <c r="J78"/>
  <c r="J77"/>
  <c r="J76"/>
  <c r="J75"/>
  <c r="J74"/>
  <c r="J73"/>
  <c r="J72"/>
  <c r="J71"/>
  <c r="J70"/>
  <c r="J69"/>
  <c r="J68"/>
  <c r="I47"/>
  <c r="H47"/>
  <c r="G47"/>
  <c r="F47"/>
  <c r="E47"/>
  <c r="D47"/>
  <c r="B47"/>
  <c r="J46"/>
  <c r="J45"/>
  <c r="C44"/>
  <c r="J44" s="1"/>
  <c r="C43"/>
  <c r="J43" s="1"/>
  <c r="J42"/>
  <c r="J41"/>
  <c r="J40"/>
  <c r="J39"/>
  <c r="J38"/>
  <c r="J37"/>
  <c r="J36"/>
  <c r="C47" l="1"/>
  <c r="E48" s="1"/>
  <c r="J79"/>
  <c r="C79"/>
  <c r="E80" s="1"/>
  <c r="J47"/>
  <c r="M135" i="11" l="1"/>
  <c r="K135"/>
  <c r="I135"/>
  <c r="G135"/>
  <c r="E135"/>
  <c r="M134"/>
  <c r="K134"/>
  <c r="I134"/>
  <c r="I137" s="1"/>
  <c r="E134"/>
  <c r="F130"/>
  <c r="E130"/>
  <c r="C130"/>
  <c r="C126"/>
  <c r="N125"/>
  <c r="M125"/>
  <c r="L125"/>
  <c r="K125"/>
  <c r="J125"/>
  <c r="I125"/>
  <c r="H125"/>
  <c r="G125"/>
  <c r="F125"/>
  <c r="E125"/>
  <c r="D125"/>
  <c r="C125"/>
  <c r="C124"/>
  <c r="C123"/>
  <c r="C122"/>
  <c r="C121"/>
  <c r="C120"/>
  <c r="C119"/>
  <c r="F118"/>
  <c r="C118" s="1"/>
  <c r="C117"/>
  <c r="C116"/>
  <c r="C115"/>
  <c r="C114"/>
  <c r="C113"/>
  <c r="N112"/>
  <c r="M112"/>
  <c r="M129" s="1"/>
  <c r="M131" s="1"/>
  <c r="L112"/>
  <c r="K112"/>
  <c r="K136" s="1"/>
  <c r="J112"/>
  <c r="I112"/>
  <c r="I136" s="1"/>
  <c r="H112"/>
  <c r="G112"/>
  <c r="G136" s="1"/>
  <c r="E112"/>
  <c r="D112"/>
  <c r="C111"/>
  <c r="C110"/>
  <c r="C109"/>
  <c r="C108"/>
  <c r="C107"/>
  <c r="C106"/>
  <c r="C105"/>
  <c r="C104"/>
  <c r="C103"/>
  <c r="C102"/>
  <c r="C101"/>
  <c r="C100"/>
  <c r="C99"/>
  <c r="N98"/>
  <c r="N136" s="1"/>
  <c r="M98"/>
  <c r="L98"/>
  <c r="L136" s="1"/>
  <c r="K98"/>
  <c r="J98"/>
  <c r="J136" s="1"/>
  <c r="I98"/>
  <c r="H98"/>
  <c r="H136" s="1"/>
  <c r="G98"/>
  <c r="F98"/>
  <c r="E98"/>
  <c r="D98"/>
  <c r="D136" s="1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F74"/>
  <c r="C74"/>
  <c r="C73"/>
  <c r="C72"/>
  <c r="C71"/>
  <c r="C70"/>
  <c r="C69"/>
  <c r="F68"/>
  <c r="C68" s="1"/>
  <c r="C67"/>
  <c r="C66"/>
  <c r="C65"/>
  <c r="F64"/>
  <c r="C64"/>
  <c r="C63"/>
  <c r="C62"/>
  <c r="F61"/>
  <c r="C61"/>
  <c r="C60"/>
  <c r="F59"/>
  <c r="C59" s="1"/>
  <c r="F58"/>
  <c r="C58" s="1"/>
  <c r="C57"/>
  <c r="C56"/>
  <c r="F55"/>
  <c r="C55" s="1"/>
  <c r="N54"/>
  <c r="N135" s="1"/>
  <c r="M54"/>
  <c r="L54"/>
  <c r="L135" s="1"/>
  <c r="K54"/>
  <c r="J54"/>
  <c r="J135" s="1"/>
  <c r="I54"/>
  <c r="H54"/>
  <c r="H135" s="1"/>
  <c r="G54"/>
  <c r="F54"/>
  <c r="F135" s="1"/>
  <c r="E54"/>
  <c r="D54"/>
  <c r="D135" s="1"/>
  <c r="C52"/>
  <c r="C51"/>
  <c r="C50"/>
  <c r="C49"/>
  <c r="C48"/>
  <c r="C47"/>
  <c r="G46"/>
  <c r="C46" s="1"/>
  <c r="C45" s="1"/>
  <c r="N45"/>
  <c r="M45"/>
  <c r="L45"/>
  <c r="K45"/>
  <c r="J45"/>
  <c r="I45"/>
  <c r="H45"/>
  <c r="F45"/>
  <c r="E45"/>
  <c r="D45"/>
  <c r="C44"/>
  <c r="C43"/>
  <c r="C42"/>
  <c r="C41"/>
  <c r="C40"/>
  <c r="C39"/>
  <c r="C38"/>
  <c r="C37"/>
  <c r="C36"/>
  <c r="G35"/>
  <c r="C35"/>
  <c r="G34"/>
  <c r="C34"/>
  <c r="G33"/>
  <c r="C33"/>
  <c r="G32"/>
  <c r="C32"/>
  <c r="G31"/>
  <c r="C31"/>
  <c r="C30"/>
  <c r="C29"/>
  <c r="G28"/>
  <c r="C28"/>
  <c r="C27"/>
  <c r="C26"/>
  <c r="G25"/>
  <c r="C25"/>
  <c r="C24"/>
  <c r="G23"/>
  <c r="C23" s="1"/>
  <c r="G22"/>
  <c r="C22" s="1"/>
  <c r="C21"/>
  <c r="G20"/>
  <c r="C20"/>
  <c r="G19"/>
  <c r="C19"/>
  <c r="G18"/>
  <c r="C18"/>
  <c r="G17"/>
  <c r="C17"/>
  <c r="C16"/>
  <c r="G15"/>
  <c r="C15" s="1"/>
  <c r="C14"/>
  <c r="G13"/>
  <c r="C13"/>
  <c r="G12"/>
  <c r="C12"/>
  <c r="G11"/>
  <c r="C11"/>
  <c r="C10"/>
  <c r="G9"/>
  <c r="C9" s="1"/>
  <c r="N8"/>
  <c r="N129" s="1"/>
  <c r="N131" s="1"/>
  <c r="M8"/>
  <c r="L8"/>
  <c r="L134" s="1"/>
  <c r="L137" s="1"/>
  <c r="K8"/>
  <c r="J8"/>
  <c r="J129" s="1"/>
  <c r="J131" s="1"/>
  <c r="I8"/>
  <c r="H8"/>
  <c r="H134" s="1"/>
  <c r="H137" s="1"/>
  <c r="F8"/>
  <c r="E8"/>
  <c r="D8"/>
  <c r="D134" s="1"/>
  <c r="I17" i="10"/>
  <c r="H17"/>
  <c r="G17"/>
  <c r="F17"/>
  <c r="E17"/>
  <c r="C17"/>
  <c r="B17"/>
  <c r="J16"/>
  <c r="J15"/>
  <c r="J14"/>
  <c r="J13"/>
  <c r="J12"/>
  <c r="J11"/>
  <c r="D10"/>
  <c r="J10" s="1"/>
  <c r="J9"/>
  <c r="J8"/>
  <c r="J7"/>
  <c r="J6"/>
  <c r="J5"/>
  <c r="E14" i="7"/>
  <c r="J17" i="10" l="1"/>
  <c r="E136" i="11"/>
  <c r="E137" s="1"/>
  <c r="C98"/>
  <c r="C112"/>
  <c r="F129"/>
  <c r="F131" s="1"/>
  <c r="C8"/>
  <c r="D137"/>
  <c r="C135"/>
  <c r="M137"/>
  <c r="C54"/>
  <c r="K137"/>
  <c r="E129"/>
  <c r="E131" s="1"/>
  <c r="I129"/>
  <c r="I131" s="1"/>
  <c r="G45"/>
  <c r="F112"/>
  <c r="F136" s="1"/>
  <c r="D129"/>
  <c r="H129"/>
  <c r="H131" s="1"/>
  <c r="L129"/>
  <c r="L131" s="1"/>
  <c r="F134"/>
  <c r="J134"/>
  <c r="J137" s="1"/>
  <c r="N134"/>
  <c r="N137" s="1"/>
  <c r="K129"/>
  <c r="K131" s="1"/>
  <c r="M136"/>
  <c r="G8"/>
  <c r="E18" i="10"/>
  <c r="D17"/>
  <c r="D16" i="7"/>
  <c r="E4"/>
  <c r="F4"/>
  <c r="D14"/>
  <c r="D11"/>
  <c r="D4"/>
  <c r="E25" i="6"/>
  <c r="F25"/>
  <c r="D25"/>
  <c r="D18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C136" i="11" l="1"/>
  <c r="C129"/>
  <c r="C131" s="1"/>
  <c r="G134"/>
  <c r="G129"/>
  <c r="G131" s="1"/>
  <c r="F137"/>
  <c r="G137" l="1"/>
  <c r="C134"/>
  <c r="C137" s="1"/>
  <c r="H22" i="9"/>
  <c r="G22"/>
  <c r="F22"/>
  <c r="H10"/>
  <c r="G10"/>
  <c r="F10"/>
  <c r="H7"/>
  <c r="G7"/>
  <c r="F7"/>
  <c r="H13" l="1"/>
  <c r="H24" s="1"/>
  <c r="F13"/>
  <c r="F24" s="1"/>
  <c r="G13"/>
  <c r="G24" s="1"/>
  <c r="D45" i="6"/>
  <c r="E43"/>
  <c r="F43"/>
  <c r="D43"/>
  <c r="D37"/>
  <c r="D22"/>
  <c r="D39" l="1"/>
  <c r="D35" s="1"/>
  <c r="D42"/>
  <c r="F42"/>
  <c r="E42"/>
  <c r="F18"/>
  <c r="E18"/>
  <c r="A8" i="7"/>
  <c r="A9"/>
  <c r="A32"/>
  <c r="A31"/>
  <c r="A30"/>
  <c r="A29"/>
  <c r="A28"/>
  <c r="A27"/>
  <c r="A26"/>
  <c r="F24"/>
  <c r="E24"/>
  <c r="D24"/>
  <c r="A25"/>
  <c r="A24"/>
  <c r="A23"/>
  <c r="F21"/>
  <c r="E21"/>
  <c r="D21"/>
  <c r="A22"/>
  <c r="A21"/>
  <c r="A20"/>
  <c r="A19"/>
  <c r="A18"/>
  <c r="A17"/>
  <c r="A16"/>
  <c r="A15"/>
  <c r="F13"/>
  <c r="E13"/>
  <c r="D13"/>
  <c r="A14"/>
  <c r="A13"/>
  <c r="A12"/>
  <c r="A11"/>
  <c r="A10"/>
  <c r="A7"/>
  <c r="A5"/>
  <c r="A4"/>
  <c r="A3"/>
  <c r="F39" i="6"/>
  <c r="E39"/>
  <c r="F37"/>
  <c r="E37"/>
  <c r="D28"/>
  <c r="A4"/>
  <c r="D24" l="1"/>
  <c r="E35"/>
  <c r="F35"/>
  <c r="E28"/>
  <c r="F28"/>
  <c r="D20"/>
  <c r="E9"/>
  <c r="D15"/>
  <c r="F15"/>
  <c r="E5"/>
  <c r="D9"/>
  <c r="D4" s="1"/>
  <c r="F9"/>
  <c r="D10" i="7"/>
  <c r="E26"/>
  <c r="E23" s="1"/>
  <c r="E15"/>
  <c r="F18"/>
  <c r="D26"/>
  <c r="D23" s="1"/>
  <c r="F26"/>
  <c r="F23" s="1"/>
  <c r="F30"/>
  <c r="F29" s="1"/>
  <c r="D18"/>
  <c r="E18"/>
  <c r="D30"/>
  <c r="D29" s="1"/>
  <c r="E30"/>
  <c r="E29" s="1"/>
  <c r="D15"/>
  <c r="F15"/>
  <c r="E15" i="6"/>
  <c r="D5"/>
  <c r="F5"/>
  <c r="E24" l="1"/>
  <c r="E22" s="1"/>
  <c r="E20" s="1"/>
  <c r="F24"/>
  <c r="F22" s="1"/>
  <c r="F20" s="1"/>
  <c r="D3" i="7"/>
  <c r="F10"/>
  <c r="F3" s="1"/>
  <c r="E10"/>
  <c r="E3" s="1"/>
</calcChain>
</file>

<file path=xl/sharedStrings.xml><?xml version="1.0" encoding="utf-8"?>
<sst xmlns="http://schemas.openxmlformats.org/spreadsheetml/2006/main" count="846" uniqueCount="351">
  <si>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</si>
  <si>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</si>
  <si>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</si>
  <si>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</si>
  <si>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</si>
  <si>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</si>
  <si>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</si>
  <si>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</si>
  <si>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</si>
  <si>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</si>
  <si>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</si>
  <si>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</si>
  <si>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</si>
  <si>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</si>
  <si>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</si>
  <si>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</si>
  <si>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</si>
  <si>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</si>
  <si>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</si>
  <si>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</si>
  <si>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</si>
  <si>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</si>
  <si>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</si>
  <si>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</si>
  <si>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</si>
  <si>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</si>
  <si>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</si>
  <si>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</si>
  <si>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</si>
  <si>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</si>
  <si>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</si>
  <si>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</si>
  <si>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</si>
  <si>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PRIHODI UKUPNO</t>
  </si>
  <si>
    <t>RASHODI UKUPNO</t>
  </si>
  <si>
    <t>len</t>
  </si>
  <si>
    <t>Račun iz računskog plana</t>
  </si>
  <si>
    <t>Račun iz raču.plana</t>
  </si>
  <si>
    <t>Dodatna ulaganja na građevinskim objektima</t>
  </si>
  <si>
    <t>3</t>
  </si>
  <si>
    <t>Rashodi poslovanja</t>
  </si>
  <si>
    <t>31</t>
  </si>
  <si>
    <t>311</t>
  </si>
  <si>
    <t>32</t>
  </si>
  <si>
    <t>321</t>
  </si>
  <si>
    <t>322</t>
  </si>
  <si>
    <t>323</t>
  </si>
  <si>
    <t>324</t>
  </si>
  <si>
    <t>Naknade troškova osobama izvan radnog odnosa</t>
  </si>
  <si>
    <t>329</t>
  </si>
  <si>
    <t>34</t>
  </si>
  <si>
    <t>Financijski rashodi</t>
  </si>
  <si>
    <t>342</t>
  </si>
  <si>
    <t>Kamate za primljene kredite i zajmove</t>
  </si>
  <si>
    <t>343</t>
  </si>
  <si>
    <t>37</t>
  </si>
  <si>
    <t>Naknade građanima i kućanstvima na temelju osiguranja i druge naknade</t>
  </si>
  <si>
    <t>372</t>
  </si>
  <si>
    <t>Ostale naknade građanima i kućanstvima iz proračuna</t>
  </si>
  <si>
    <t>38</t>
  </si>
  <si>
    <t>Ostali rashodi</t>
  </si>
  <si>
    <t>Kazne, penali i naknade štete</t>
  </si>
  <si>
    <t>4</t>
  </si>
  <si>
    <t>41</t>
  </si>
  <si>
    <t>Rashodi za nabavu neproizvedene dugotrajne imovine</t>
  </si>
  <si>
    <t>411</t>
  </si>
  <si>
    <t>412</t>
  </si>
  <si>
    <t>Nematerijalna imovina</t>
  </si>
  <si>
    <t>42</t>
  </si>
  <si>
    <t>Rashodi za nabavu proizvedene dugotrajne imovine</t>
  </si>
  <si>
    <t>421</t>
  </si>
  <si>
    <t>Građevinski objekti</t>
  </si>
  <si>
    <t>422</t>
  </si>
  <si>
    <t>423</t>
  </si>
  <si>
    <t>Prijevozna sredstva</t>
  </si>
  <si>
    <t>424</t>
  </si>
  <si>
    <t>Višegodišnji nasadi i osnovno stado</t>
  </si>
  <si>
    <t>426</t>
  </si>
  <si>
    <t>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</si>
  <si>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</si>
  <si>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</si>
  <si>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</si>
  <si>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</si>
  <si>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44</t>
  </si>
  <si>
    <t>Rashodi za nabavu proizvedene kratkotrajne imovine</t>
  </si>
  <si>
    <t>441</t>
  </si>
  <si>
    <t>Rashodi za nabavu zaliha</t>
  </si>
  <si>
    <t>45</t>
  </si>
  <si>
    <t>Rashodi za dodatna ulaganja na nefinancijskoj imovini</t>
  </si>
  <si>
    <t>451</t>
  </si>
  <si>
    <t>Dodatna ulaganja na postrojenjima i opremi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</si>
  <si>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</si>
  <si>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</si>
  <si>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</si>
  <si>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</si>
  <si>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</si>
  <si>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</si>
  <si>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</si>
  <si>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</si>
  <si>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</si>
  <si>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</si>
  <si>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Prihodi poslovanja</t>
  </si>
  <si>
    <t>Pomoći iz inozemstva i od subjekata unutar općeg proračuna</t>
  </si>
  <si>
    <t>Pomoći od međunarodnih organizacija te institucija i tijela EU</t>
  </si>
  <si>
    <t>Pomoći proračunskim korisnicima iz proračuna koji im nije nadležan</t>
  </si>
  <si>
    <t>Prihodi od imovine</t>
  </si>
  <si>
    <t>Prihodi od financijske imovine</t>
  </si>
  <si>
    <t>Prihodi od nefinancijske imovine</t>
  </si>
  <si>
    <t>Prihodi od upravnih i administrativnih pristojbi, pristojbi po posebnim propisima i naknada</t>
  </si>
  <si>
    <t>Prihodi po posebnim propisima</t>
  </si>
  <si>
    <t>Prihodi od prodaje proizvoda i robe te pruženih usluga i prihodi od donacija</t>
  </si>
  <si>
    <t>Prihodi od prodaje proizvoda i robe te pruženih usluga</t>
  </si>
  <si>
    <t>Donacije od pravnih i fizičkih osoba izvan općeg proračuna</t>
  </si>
  <si>
    <t>Prihodi iz nadležnog proračuna i od HZZO-a na temelju ugovornih obaveza</t>
  </si>
  <si>
    <t xml:space="preserve">Prihodi iz nadležnog proračuna za financiranje redovne djelatnosti proračunskih korisnika 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</si>
  <si>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</si>
  <si>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</si>
  <si>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</si>
  <si>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</si>
  <si>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</si>
  <si>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</si>
  <si>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Prihodi od prodaje proizvedene dugotrajne imovine</t>
  </si>
  <si>
    <t>Prihodi od prodaje građevinskih objekata</t>
  </si>
  <si>
    <t>Prihodi od prodaje prijevoznih sredstava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</si>
  <si>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</si>
  <si>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</si>
  <si>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</si>
  <si>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zajmovi od drugih razina vlasti</t>
  </si>
  <si>
    <t>PRIHODI OD PRODAJE NEFINANCIJSKE IMOVINE</t>
  </si>
  <si>
    <t>Prijenosi između proračunskih korisnika istog proračuna</t>
  </si>
  <si>
    <t>Pomoći temeljem prijenosa EU sredstava</t>
  </si>
  <si>
    <t>369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</si>
  <si>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</si>
  <si>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</si>
  <si>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</si>
  <si>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</si>
  <si>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</si>
  <si>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2021.</t>
  </si>
  <si>
    <t>Projekcija 2022.</t>
  </si>
  <si>
    <t>Ukupno prihodi i primici za 2021.</t>
  </si>
  <si>
    <t>PRIJEDLOG FINANCIJSKOG PLANA (proračunski korisnik) ZA 2021. I                                                                                                                                                PROJEKCIJA PLANA ZA  2022. I 2023. GODINU</t>
  </si>
  <si>
    <t>Prijedlog plana 
za 2021.</t>
  </si>
  <si>
    <t>Projekcija plana
za 2022.</t>
  </si>
  <si>
    <t>Projekcija plana 
za 2023.</t>
  </si>
  <si>
    <t>Prijedlog plana 
za 2021</t>
  </si>
  <si>
    <t>Plan 2021.</t>
  </si>
  <si>
    <t>Projekcija 2023.</t>
  </si>
  <si>
    <t>PRIJEDLOG PLANA ZA 2021.</t>
  </si>
  <si>
    <t>Pomoći od izvanproračunskih korisnika</t>
  </si>
  <si>
    <t>PLAN PRIHODA I PRIMITAKA THALASSOTHERAPIA OPATIJA 2021.</t>
  </si>
  <si>
    <t>u kunama</t>
  </si>
  <si>
    <t>ZBIRNO PLAN PRIHODA I PRIMITAKA</t>
  </si>
  <si>
    <t>63414 pomoći od HZMO, HZZ, HZZO</t>
  </si>
  <si>
    <t>64132 kamate</t>
  </si>
  <si>
    <t>64151 pozitivne tečajne razlike</t>
  </si>
  <si>
    <t>65264 dopunsko</t>
  </si>
  <si>
    <t>65267 refund.osig.</t>
  </si>
  <si>
    <t>66151 vlastiti prihodi</t>
  </si>
  <si>
    <t>66313 tekuće donacije</t>
  </si>
  <si>
    <t>67111 prih.za finan.rashoda-pgž</t>
  </si>
  <si>
    <t>67121, prih. Za nab. Nefinanc. Imovine</t>
  </si>
  <si>
    <t>67311 HZZO</t>
  </si>
  <si>
    <t>68311 ostali prihodi</t>
  </si>
  <si>
    <t>92211 višak prih.posl.</t>
  </si>
  <si>
    <t>PLAN RASHODA I IZDATAKA ZA 2021.</t>
  </si>
  <si>
    <t>Prihodi od nefinancijske imovine i nadoknade šteta s osnova osiguranja</t>
  </si>
  <si>
    <t>Prenesena sredstva-vlastiti prihodi</t>
  </si>
  <si>
    <t>Prenesena sredstva-namjenski prihodi</t>
  </si>
  <si>
    <t>Prenesena sredstva-pomoći</t>
  </si>
  <si>
    <t>111 - PGŽ</t>
  </si>
  <si>
    <t>445 - DEC</t>
  </si>
  <si>
    <t>4311 - HZZO</t>
  </si>
  <si>
    <t xml:space="preserve">PRORAČUNSKI KORISNIK: </t>
  </si>
  <si>
    <t>Thalassotherapia Opatija</t>
  </si>
  <si>
    <t>SIGURNOST ZDRAVLJA I PRAVA NA ZDRAVSTVENE USLUGE</t>
  </si>
  <si>
    <t>Dostupnost na sekundarnoj razini zdravstvene zaštite</t>
  </si>
  <si>
    <t>Plaće za redovan rad</t>
  </si>
  <si>
    <t>Plaće u naravi</t>
  </si>
  <si>
    <t>Plaće za prekovremeni rad</t>
  </si>
  <si>
    <t>Plaće za posebne uvjete rada</t>
  </si>
  <si>
    <t>Doprinosi za mirovinsko osiguranje</t>
  </si>
  <si>
    <t>Doprinosi za obvezno zdravstveno osiguranje</t>
  </si>
  <si>
    <t>Doprinosi za obvezno osiguranje u slučaju nezaposlenosti</t>
  </si>
  <si>
    <t>Službena putovanja</t>
  </si>
  <si>
    <t>Naknade za prijevoz,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</si>
  <si>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</si>
  <si>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</si>
  <si>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</si>
  <si>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</si>
  <si>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</si>
  <si>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</si>
  <si>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</si>
  <si>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</si>
  <si>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</si>
  <si>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</si>
  <si>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</si>
  <si>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</si>
  <si>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</si>
  <si>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</si>
  <si>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</si>
  <si>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</si>
  <si>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</si>
  <si>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osobama izvan radnog odnosa</t>
  </si>
  <si>
    <t>Naknade za rad upravnih vijeća</t>
  </si>
  <si>
    <t>Premija osiguranja</t>
  </si>
  <si>
    <t>Reprezentacija</t>
  </si>
  <si>
    <t>Članarina</t>
  </si>
  <si>
    <t>Pristojbe i naknade</t>
  </si>
  <si>
    <t>Bankarske usluge i i usluge platnog prometa</t>
  </si>
  <si>
    <t>Ostali nespomenuti financijski rashodi</t>
  </si>
  <si>
    <t>Specijalizacije doktora medicine</t>
  </si>
  <si>
    <t>Plaća za posebne uvj. Rada</t>
  </si>
  <si>
    <t xml:space="preserve">Poboljšanje i razvoj zdravstvenog standarda </t>
  </si>
  <si>
    <t>Materijal I sirovine</t>
  </si>
  <si>
    <t>Službena radna I zaštitna odjeća I obuća</t>
  </si>
  <si>
    <t>Usluge promidžbe I informiranja</t>
  </si>
  <si>
    <t>Naknade za rad predstavničkih I izvršnih tijela, povjerenstava I slično</t>
  </si>
  <si>
    <t>Premije osiguranja</t>
  </si>
  <si>
    <t>Članarine I norme</t>
  </si>
  <si>
    <t>Troškovi sudskih postupaka</t>
  </si>
  <si>
    <t>Kamate za primljene kredite I zajmove od kre.</t>
  </si>
  <si>
    <t>Negativne tečajne razlike I razlike zbog primjene valutne klauzule</t>
  </si>
  <si>
    <t>Zatezne kamate</t>
  </si>
  <si>
    <t>Naknada šteta pravnim i fizičkim osobama</t>
  </si>
  <si>
    <t>INVESTICIJE U ZDRAVSTVENU INFRASTRUKTURU</t>
  </si>
  <si>
    <t xml:space="preserve"> </t>
  </si>
  <si>
    <t>Zakonski standard održavanja i opremanja - popis prioriteta</t>
  </si>
  <si>
    <t>Usluge tek.i investicijskog održavanja</t>
  </si>
  <si>
    <t>Licence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</si>
  <si>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</si>
  <si>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</si>
  <si>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</si>
  <si>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</si>
  <si>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</si>
  <si>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</si>
  <si>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Ulaganje u računalne programe</t>
  </si>
  <si>
    <t>Ostala nematerijal.proiz.imovina</t>
  </si>
  <si>
    <t>Dodatna ulaganja u građ. Objekte</t>
  </si>
  <si>
    <t>Ulaganje i opremanje objekata</t>
  </si>
  <si>
    <t>Izdaci za otpl. glavnice primlj. kredita</t>
  </si>
  <si>
    <t>Otplata glavn. primlj. kredita od tuzemn. kreditn. instit.</t>
  </si>
  <si>
    <t>UKUPNO:</t>
  </si>
  <si>
    <t>IZVORI</t>
  </si>
  <si>
    <t>RAZLIKA</t>
  </si>
  <si>
    <t>PROGRAMI</t>
  </si>
  <si>
    <t>UKUPNO</t>
  </si>
  <si>
    <t>PLAN PRIHODA I PRIMITAKA THALASSOTHERAPIA OPATIJA 2022.</t>
  </si>
  <si>
    <t>2022.</t>
  </si>
  <si>
    <t>PLAN PRIHODA I PRIMITAKA THALASSOTHERAPIA OPATIJA 2023.</t>
  </si>
  <si>
    <t>2023.</t>
  </si>
  <si>
    <t>Ukupno prihodi i primici za 2022.</t>
  </si>
  <si>
    <t>Ukupno prihodi i primici za 2023.</t>
  </si>
  <si>
    <t>PLAN RASHODA I IZDATAKA ZA 2022.</t>
  </si>
  <si>
    <t>PRIJEDLOG PLANA ZA 2022.</t>
  </si>
  <si>
    <t>PLAN RASHODA I IZDATAKA ZA 2023.</t>
  </si>
  <si>
    <t>Program 4206</t>
  </si>
  <si>
    <t>Program 4207</t>
  </si>
  <si>
    <t>UNAPRJEĐENJE KVALITETE ZDRAVSTVENE ZAŠTITE - NADSTANDARD</t>
  </si>
  <si>
    <t>Program 4208</t>
  </si>
  <si>
    <t>Porezni i ostali prihodi - 111</t>
  </si>
  <si>
    <t>Opći prihodi i primici - DEC - 445</t>
  </si>
  <si>
    <t>Vlastiti prihodi - 321</t>
  </si>
  <si>
    <t>Prihodi za posebne namjene - 431</t>
  </si>
  <si>
    <t>Pomoći - 521</t>
  </si>
  <si>
    <t>Donacije - 621</t>
  </si>
  <si>
    <t>Prihodi od prodaje nefinancijske imovine i nadoknade šteta s osnova osiguranja - 731</t>
  </si>
  <si>
    <t>Prenesena sredstva - vlastiti prihodi - 383</t>
  </si>
  <si>
    <t>PRIJEDLOG PLANA ZA 2023.</t>
  </si>
  <si>
    <t>PREDSJEDNICA UPRAVNOG VIJEĆA</t>
  </si>
  <si>
    <t>Prof.dr.sc. Romana Jerković, dr.med.</t>
  </si>
  <si>
    <t>_____________________________________</t>
  </si>
  <si>
    <t>__________________________</t>
  </si>
  <si>
    <t>Program 1</t>
  </si>
  <si>
    <t>Program 2</t>
  </si>
  <si>
    <t>Program 3</t>
  </si>
  <si>
    <t>Plan 2022.</t>
  </si>
  <si>
    <t>Plan 2023.</t>
  </si>
  <si>
    <t>3111</t>
  </si>
  <si>
    <t>3113</t>
  </si>
  <si>
    <t>3114</t>
  </si>
  <si>
    <t>3121</t>
  </si>
  <si>
    <t>3132</t>
  </si>
  <si>
    <t>Doprinosi za zapošljavanje</t>
  </si>
  <si>
    <t>3211</t>
  </si>
  <si>
    <t>3212</t>
  </si>
  <si>
    <t>Nakn. za prijev. rad na ter. odv. Živ.</t>
  </si>
  <si>
    <t>3213</t>
  </si>
  <si>
    <t>3214</t>
  </si>
  <si>
    <t>3221</t>
  </si>
  <si>
    <t>Uredski materijal i ostali mat. rashodi</t>
  </si>
  <si>
    <t>3222</t>
  </si>
  <si>
    <t>3223</t>
  </si>
  <si>
    <t>3224</t>
  </si>
  <si>
    <t>Materijal i dijel. za tek. i invest. Održ.</t>
  </si>
  <si>
    <t>3225</t>
  </si>
  <si>
    <t>3227</t>
  </si>
  <si>
    <t>Službena, radna i zašt.odjeća i ob.</t>
  </si>
  <si>
    <t>3231</t>
  </si>
  <si>
    <t>3232</t>
  </si>
  <si>
    <t>Usluge tekućeg i inv.  održavanja</t>
  </si>
  <si>
    <t>3233</t>
  </si>
  <si>
    <t>3234</t>
  </si>
  <si>
    <t>3235</t>
  </si>
  <si>
    <t>3236</t>
  </si>
  <si>
    <t>3237</t>
  </si>
  <si>
    <t>3238</t>
  </si>
  <si>
    <t>3239</t>
  </si>
  <si>
    <t>3241</t>
  </si>
  <si>
    <t>Nakn. trošk. osob. izvan radn.Odn.</t>
  </si>
  <si>
    <t>3291</t>
  </si>
  <si>
    <t>Naknade za rad predst.i izvrš. tijela, povjer. i slično</t>
  </si>
  <si>
    <t>3292</t>
  </si>
  <si>
    <t>3293</t>
  </si>
  <si>
    <t>3294</t>
  </si>
  <si>
    <t>Članarine i norme</t>
  </si>
  <si>
    <t>3295</t>
  </si>
  <si>
    <t>3296</t>
  </si>
  <si>
    <t>3299</t>
  </si>
  <si>
    <t>Ostali nespomenuti rashodi posl.</t>
  </si>
  <si>
    <t>Kamate za primlj. Kredite</t>
  </si>
  <si>
    <t>Kam. za primlj kredite od krd. Inst.</t>
  </si>
  <si>
    <t>3431</t>
  </si>
  <si>
    <t>Bank. usluge i usluge platn. prom.</t>
  </si>
  <si>
    <t>3432</t>
  </si>
  <si>
    <t xml:space="preserve">Negativne tečajne razlike </t>
  </si>
  <si>
    <t>3433</t>
  </si>
  <si>
    <t>3434</t>
  </si>
  <si>
    <t>Ostali nespomen.financ. rashodi</t>
  </si>
  <si>
    <t>Rash. za nabavu neproizv. Dugotr. imovine</t>
  </si>
  <si>
    <t>4123</t>
  </si>
  <si>
    <t>Rash. za nabavu proizv. dugotr. imovine</t>
  </si>
  <si>
    <t>4221</t>
  </si>
  <si>
    <t>4222</t>
  </si>
  <si>
    <t>4223</t>
  </si>
  <si>
    <t>4224</t>
  </si>
  <si>
    <t>4225</t>
  </si>
  <si>
    <t>4227</t>
  </si>
  <si>
    <t>Uređaji, stroj.i oprema za ost namj.</t>
  </si>
  <si>
    <t>Nemater. proizv. imovina</t>
  </si>
  <si>
    <t>4262</t>
  </si>
  <si>
    <t>Ulaganja u računalne programe</t>
  </si>
  <si>
    <t>4264</t>
  </si>
  <si>
    <t>Ostala nematerij. Proizved. imovina</t>
  </si>
  <si>
    <t>Izd. Za financ.imov.i otplate zajmova</t>
  </si>
  <si>
    <t>Izdaci za otpl. Glavn. Primljenih zajmova</t>
  </si>
  <si>
    <t>Otplata glavn. Primlj. Zajmova od kred. Institituc.</t>
  </si>
  <si>
    <t>Otplata glavn. primlj. kred. dugor.</t>
  </si>
  <si>
    <t>THALASSOTHERAPIA OPATIJA - Specijalna bolnica za medicinsku rehabilitaciju bolesti srca, pluća i reumatizma</t>
  </si>
  <si>
    <t xml:space="preserve">PRIJEDLOG FINANCIJSKOG PLANA ZA 2021. - 2023. GOD. </t>
  </si>
  <si>
    <t>Račun iz raču. pl.</t>
  </si>
  <si>
    <t>UKUPNO RASHODI</t>
  </si>
</sst>
</file>

<file path=xl/styles.xml><?xml version="1.0" encoding="utf-8"?>
<styleSheet xmlns="http://schemas.openxmlformats.org/spreadsheetml/2006/main">
  <numFmts count="1">
    <numFmt numFmtId="164" formatCode="_-* #,##0.00\ _k_n_-;\-* #,##0.00\ _k_n_-;_-* &quot;-&quot;??\ _k_n_-;_-@_-"/>
  </numFmts>
  <fonts count="67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7.5"/>
      <color rgb="FF000000"/>
      <name val="Arial"/>
      <family val="2"/>
      <charset val="238"/>
    </font>
    <font>
      <b/>
      <sz val="7.5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7.5"/>
      <color rgb="FF000000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6"/>
      <color theme="1"/>
      <name val="Arial"/>
      <family val="2"/>
      <charset val="238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2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1" fillId="0" borderId="0"/>
    <xf numFmtId="0" fontId="14" fillId="0" borderId="0"/>
    <xf numFmtId="0" fontId="45" fillId="0" borderId="0"/>
    <xf numFmtId="164" fontId="31" fillId="0" borderId="0" applyFont="0" applyFill="0" applyBorder="0" applyAlignment="0" applyProtection="0"/>
    <xf numFmtId="0" fontId="45" fillId="0" borderId="0"/>
    <xf numFmtId="0" fontId="14" fillId="0" borderId="0"/>
    <xf numFmtId="0" fontId="14" fillId="0" borderId="0"/>
    <xf numFmtId="164" fontId="31" fillId="0" borderId="0" applyFont="0" applyFill="0" applyBorder="0" applyAlignment="0" applyProtection="0"/>
    <xf numFmtId="0" fontId="14" fillId="0" borderId="0" applyFont="0" applyFill="0" applyBorder="0" applyAlignment="0" applyProtection="0"/>
  </cellStyleXfs>
  <cellXfs count="389">
    <xf numFmtId="0" fontId="0" fillId="0" borderId="0" xfId="0" applyNumberFormat="1" applyFill="1" applyBorder="1" applyAlignment="1" applyProtection="1"/>
    <xf numFmtId="3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/>
    <xf numFmtId="0" fontId="32" fillId="0" borderId="0" xfId="42" applyFont="1" applyAlignment="1">
      <alignment horizontal="right" vertical="center"/>
    </xf>
    <xf numFmtId="0" fontId="30" fillId="0" borderId="0" xfId="42" applyFont="1" applyAlignment="1">
      <alignment horizontal="right" vertical="center"/>
    </xf>
    <xf numFmtId="4" fontId="34" fillId="20" borderId="25" xfId="42" applyNumberFormat="1" applyFont="1" applyFill="1" applyBorder="1" applyAlignment="1">
      <alignment vertical="center" wrapText="1"/>
    </xf>
    <xf numFmtId="0" fontId="30" fillId="0" borderId="0" xfId="42" applyFont="1" applyAlignment="1">
      <alignment horizontal="left" indent="1"/>
    </xf>
    <xf numFmtId="0" fontId="35" fillId="0" borderId="0" xfId="42" applyFont="1" applyAlignment="1">
      <alignment horizontal="right" vertical="center"/>
    </xf>
    <xf numFmtId="0" fontId="35" fillId="0" borderId="0" xfId="42" applyFont="1" applyAlignment="1">
      <alignment horizontal="left" indent="1"/>
    </xf>
    <xf numFmtId="0" fontId="33" fillId="0" borderId="0" xfId="42" applyFont="1" applyAlignment="1">
      <alignment horizontal="left" vertical="center"/>
    </xf>
    <xf numFmtId="0" fontId="32" fillId="0" borderId="0" xfId="42" applyFont="1" applyAlignment="1">
      <alignment horizontal="left" indent="1"/>
    </xf>
    <xf numFmtId="4" fontId="36" fillId="20" borderId="25" xfId="42" applyNumberFormat="1" applyFont="1" applyFill="1" applyBorder="1" applyAlignment="1">
      <alignment vertical="center" wrapText="1"/>
    </xf>
    <xf numFmtId="0" fontId="32" fillId="0" borderId="0" xfId="42" applyFont="1" applyAlignment="1"/>
    <xf numFmtId="4" fontId="34" fillId="20" borderId="25" xfId="42" applyNumberFormat="1" applyFont="1" applyFill="1" applyBorder="1" applyAlignment="1">
      <alignment horizontal="right" wrapText="1"/>
    </xf>
    <xf numFmtId="4" fontId="37" fillId="20" borderId="25" xfId="42" applyNumberFormat="1" applyFont="1" applyFill="1" applyBorder="1" applyAlignment="1">
      <alignment horizontal="right" wrapText="1"/>
    </xf>
    <xf numFmtId="4" fontId="36" fillId="20" borderId="25" xfId="42" applyNumberFormat="1" applyFont="1" applyFill="1" applyBorder="1" applyAlignment="1">
      <alignment horizontal="right" wrapText="1"/>
    </xf>
    <xf numFmtId="0" fontId="32" fillId="0" borderId="0" xfId="42" applyFont="1" applyAlignment="1">
      <alignment horizontal="right"/>
    </xf>
    <xf numFmtId="0" fontId="38" fillId="0" borderId="0" xfId="42" applyFont="1" applyAlignment="1">
      <alignment horizontal="right" vertical="center"/>
    </xf>
    <xf numFmtId="0" fontId="38" fillId="0" borderId="0" xfId="42" applyFont="1" applyAlignment="1">
      <alignment horizontal="left" indent="1"/>
    </xf>
    <xf numFmtId="0" fontId="34" fillId="20" borderId="25" xfId="42" applyFont="1" applyFill="1" applyBorder="1" applyAlignment="1">
      <alignment horizontal="left" wrapText="1"/>
    </xf>
    <xf numFmtId="0" fontId="32" fillId="0" borderId="0" xfId="42" applyFont="1" applyAlignment="1">
      <alignment horizontal="left"/>
    </xf>
    <xf numFmtId="0" fontId="34" fillId="20" borderId="25" xfId="42" applyFont="1" applyFill="1" applyBorder="1" applyAlignment="1">
      <alignment wrapText="1"/>
    </xf>
    <xf numFmtId="0" fontId="32" fillId="0" borderId="0" xfId="42" applyFont="1" applyAlignment="1">
      <alignment horizontal="left" indent="1"/>
    </xf>
    <xf numFmtId="0" fontId="27" fillId="0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>
      <alignment horizontal="left" wrapText="1"/>
    </xf>
    <xf numFmtId="0" fontId="39" fillId="0" borderId="0" xfId="0" applyNumberFormat="1" applyFont="1" applyFill="1" applyBorder="1" applyAlignment="1" applyProtection="1">
      <alignment wrapText="1"/>
    </xf>
    <xf numFmtId="0" fontId="26" fillId="0" borderId="24" xfId="0" quotePrefix="1" applyFont="1" applyBorder="1" applyAlignment="1">
      <alignment horizontal="left" wrapText="1"/>
    </xf>
    <xf numFmtId="0" fontId="26" fillId="0" borderId="11" xfId="0" quotePrefix="1" applyFont="1" applyBorder="1" applyAlignment="1">
      <alignment horizontal="left" wrapText="1"/>
    </xf>
    <xf numFmtId="0" fontId="26" fillId="0" borderId="11" xfId="0" quotePrefix="1" applyFont="1" applyBorder="1" applyAlignment="1">
      <alignment horizontal="center" wrapText="1"/>
    </xf>
    <xf numFmtId="0" fontId="26" fillId="0" borderId="11" xfId="0" quotePrefix="1" applyNumberFormat="1" applyFont="1" applyFill="1" applyBorder="1" applyAlignment="1" applyProtection="1">
      <alignment horizontal="left"/>
    </xf>
    <xf numFmtId="0" fontId="24" fillId="0" borderId="12" xfId="0" applyNumberFormat="1" applyFont="1" applyFill="1" applyBorder="1" applyAlignment="1" applyProtection="1">
      <alignment horizontal="center" wrapText="1"/>
    </xf>
    <xf numFmtId="0" fontId="24" fillId="0" borderId="12" xfId="0" applyNumberFormat="1" applyFont="1" applyFill="1" applyBorder="1" applyAlignment="1" applyProtection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" fontId="26" fillId="23" borderId="12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right"/>
    </xf>
    <xf numFmtId="0" fontId="28" fillId="23" borderId="24" xfId="0" applyFont="1" applyFill="1" applyBorder="1" applyAlignment="1">
      <alignment horizontal="left"/>
    </xf>
    <xf numFmtId="0" fontId="18" fillId="23" borderId="11" xfId="0" applyNumberFormat="1" applyFont="1" applyFill="1" applyBorder="1" applyAlignment="1" applyProtection="1"/>
    <xf numFmtId="3" fontId="26" fillId="0" borderId="12" xfId="0" applyNumberFormat="1" applyFont="1" applyFill="1" applyBorder="1" applyAlignment="1" applyProtection="1">
      <alignment horizontal="right" wrapText="1"/>
    </xf>
    <xf numFmtId="3" fontId="26" fillId="0" borderId="12" xfId="0" applyNumberFormat="1" applyFont="1" applyBorder="1" applyAlignment="1">
      <alignment horizontal="right"/>
    </xf>
    <xf numFmtId="3" fontId="26" fillId="23" borderId="12" xfId="0" applyNumberFormat="1" applyFont="1" applyFill="1" applyBorder="1" applyAlignment="1" applyProtection="1">
      <alignment horizontal="right" wrapText="1"/>
    </xf>
    <xf numFmtId="3" fontId="26" fillId="21" borderId="24" xfId="0" quotePrefix="1" applyNumberFormat="1" applyFont="1" applyFill="1" applyBorder="1" applyAlignment="1">
      <alignment horizontal="right"/>
    </xf>
    <xf numFmtId="3" fontId="26" fillId="21" borderId="12" xfId="0" applyNumberFormat="1" applyFont="1" applyFill="1" applyBorder="1" applyAlignment="1" applyProtection="1">
      <alignment horizontal="right" wrapText="1"/>
    </xf>
    <xf numFmtId="3" fontId="26" fillId="23" borderId="24" xfId="0" quotePrefix="1" applyNumberFormat="1" applyFont="1" applyFill="1" applyBorder="1" applyAlignment="1">
      <alignment horizontal="right"/>
    </xf>
    <xf numFmtId="0" fontId="39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32" fillId="0" borderId="0" xfId="42" applyFont="1" applyAlignment="1">
      <alignment horizontal="left" indent="1"/>
    </xf>
    <xf numFmtId="0" fontId="43" fillId="20" borderId="25" xfId="42" applyFont="1" applyFill="1" applyBorder="1" applyAlignment="1">
      <alignment horizontal="left" wrapText="1"/>
    </xf>
    <xf numFmtId="0" fontId="43" fillId="20" borderId="25" xfId="42" applyFont="1" applyFill="1" applyBorder="1" applyAlignment="1">
      <alignment wrapText="1"/>
    </xf>
    <xf numFmtId="4" fontId="44" fillId="20" borderId="25" xfId="42" applyNumberFormat="1" applyFont="1" applyFill="1" applyBorder="1" applyAlignment="1">
      <alignment horizontal="right" wrapText="1"/>
    </xf>
    <xf numFmtId="0" fontId="22" fillId="0" borderId="0" xfId="44" applyNumberFormat="1" applyFont="1" applyFill="1" applyBorder="1" applyAlignment="1" applyProtection="1"/>
    <xf numFmtId="1" fontId="18" fillId="0" borderId="0" xfId="44" applyNumberFormat="1" applyFont="1" applyAlignment="1">
      <alignment wrapText="1"/>
    </xf>
    <xf numFmtId="0" fontId="18" fillId="0" borderId="0" xfId="44" applyFont="1"/>
    <xf numFmtId="0" fontId="18" fillId="0" borderId="0" xfId="44" applyFont="1" applyAlignment="1">
      <alignment horizontal="right"/>
    </xf>
    <xf numFmtId="1" fontId="19" fillId="19" borderId="10" xfId="44" applyNumberFormat="1" applyFont="1" applyFill="1" applyBorder="1" applyAlignment="1">
      <alignment horizontal="right" vertical="top" wrapText="1"/>
    </xf>
    <xf numFmtId="1" fontId="19" fillId="19" borderId="18" xfId="44" applyNumberFormat="1" applyFont="1" applyFill="1" applyBorder="1" applyAlignment="1">
      <alignment horizontal="left" wrapText="1"/>
    </xf>
    <xf numFmtId="1" fontId="19" fillId="19" borderId="13" xfId="44" applyNumberFormat="1" applyFont="1" applyFill="1" applyBorder="1" applyAlignment="1">
      <alignment horizontal="left" vertical="center" wrapText="1"/>
    </xf>
    <xf numFmtId="0" fontId="19" fillId="0" borderId="32" xfId="44" applyFont="1" applyBorder="1" applyAlignment="1">
      <alignment vertical="center" wrapText="1"/>
    </xf>
    <xf numFmtId="0" fontId="19" fillId="0" borderId="14" xfId="44" applyFont="1" applyBorder="1" applyAlignment="1">
      <alignment vertical="center" wrapText="1"/>
    </xf>
    <xf numFmtId="0" fontId="19" fillId="0" borderId="15" xfId="44" applyFont="1" applyBorder="1" applyAlignment="1">
      <alignment vertical="center" wrapText="1"/>
    </xf>
    <xf numFmtId="0" fontId="46" fillId="24" borderId="10" xfId="44" applyFont="1" applyFill="1" applyBorder="1" applyAlignment="1">
      <alignment wrapText="1"/>
    </xf>
    <xf numFmtId="1" fontId="47" fillId="19" borderId="33" xfId="44" applyNumberFormat="1" applyFont="1" applyFill="1" applyBorder="1" applyAlignment="1">
      <alignment horizontal="left" wrapText="1"/>
    </xf>
    <xf numFmtId="164" fontId="47" fillId="19" borderId="34" xfId="45" applyFont="1" applyFill="1" applyBorder="1" applyAlignment="1">
      <alignment horizontal="left" wrapText="1"/>
    </xf>
    <xf numFmtId="164" fontId="19" fillId="0" borderId="35" xfId="45" applyFont="1" applyFill="1" applyBorder="1" applyAlignment="1">
      <alignment vertical="center" wrapText="1"/>
    </xf>
    <xf numFmtId="164" fontId="19" fillId="0" borderId="36" xfId="45" applyFont="1" applyFill="1" applyBorder="1" applyAlignment="1">
      <alignment vertical="center" wrapText="1"/>
    </xf>
    <xf numFmtId="164" fontId="18" fillId="0" borderId="36" xfId="45" applyFont="1" applyFill="1" applyBorder="1" applyAlignment="1">
      <alignment vertical="center" wrapText="1"/>
    </xf>
    <xf numFmtId="164" fontId="19" fillId="0" borderId="37" xfId="45" applyFont="1" applyFill="1" applyBorder="1" applyAlignment="1">
      <alignment vertical="center" wrapText="1"/>
    </xf>
    <xf numFmtId="164" fontId="47" fillId="24" borderId="38" xfId="45" applyFont="1" applyFill="1" applyBorder="1" applyAlignment="1">
      <alignment wrapText="1"/>
    </xf>
    <xf numFmtId="1" fontId="18" fillId="0" borderId="39" xfId="44" applyNumberFormat="1" applyFont="1" applyBorder="1" applyAlignment="1">
      <alignment horizontal="left" wrapText="1"/>
    </xf>
    <xf numFmtId="164" fontId="18" fillId="0" borderId="40" xfId="45" applyFont="1" applyBorder="1" applyAlignment="1">
      <alignment horizontal="left" wrapText="1"/>
    </xf>
    <xf numFmtId="164" fontId="18" fillId="0" borderId="41" xfId="45" applyFont="1" applyFill="1" applyBorder="1" applyAlignment="1">
      <alignment horizontal="center" vertical="center" wrapText="1"/>
    </xf>
    <xf numFmtId="164" fontId="18" fillId="0" borderId="42" xfId="45" applyFont="1" applyFill="1" applyBorder="1"/>
    <xf numFmtId="164" fontId="18" fillId="0" borderId="42" xfId="45" applyFont="1" applyFill="1" applyBorder="1" applyAlignment="1">
      <alignment horizontal="center" wrapText="1"/>
    </xf>
    <xf numFmtId="164" fontId="18" fillId="0" borderId="42" xfId="45" applyFont="1" applyFill="1" applyBorder="1" applyAlignment="1">
      <alignment horizontal="center" vertical="center" wrapText="1"/>
    </xf>
    <xf numFmtId="164" fontId="18" fillId="0" borderId="43" xfId="45" applyFont="1" applyFill="1" applyBorder="1" applyAlignment="1">
      <alignment horizontal="center" vertical="center" wrapText="1"/>
    </xf>
    <xf numFmtId="164" fontId="47" fillId="24" borderId="44" xfId="45" applyFont="1" applyFill="1" applyBorder="1" applyAlignment="1">
      <alignment wrapText="1"/>
    </xf>
    <xf numFmtId="164" fontId="18" fillId="0" borderId="45" xfId="45" applyFont="1" applyBorder="1" applyAlignment="1">
      <alignment horizontal="left" wrapText="1"/>
    </xf>
    <xf numFmtId="164" fontId="18" fillId="0" borderId="27" xfId="45" applyFont="1" applyFill="1" applyBorder="1"/>
    <xf numFmtId="164" fontId="18" fillId="0" borderId="12" xfId="45" applyFont="1" applyFill="1" applyBorder="1"/>
    <xf numFmtId="164" fontId="18" fillId="0" borderId="46" xfId="45" applyFont="1" applyFill="1" applyBorder="1"/>
    <xf numFmtId="1" fontId="18" fillId="0" borderId="16" xfId="44" applyNumberFormat="1" applyFont="1" applyBorder="1" applyAlignment="1">
      <alignment horizontal="left" wrapText="1"/>
    </xf>
    <xf numFmtId="164" fontId="18" fillId="0" borderId="47" xfId="45" applyFont="1" applyBorder="1" applyAlignment="1">
      <alignment horizontal="left" wrapText="1"/>
    </xf>
    <xf numFmtId="164" fontId="18" fillId="0" borderId="48" xfId="45" applyFont="1" applyFill="1" applyBorder="1"/>
    <xf numFmtId="164" fontId="18" fillId="0" borderId="49" xfId="45" applyFont="1" applyFill="1" applyBorder="1"/>
    <xf numFmtId="164" fontId="47" fillId="24" borderId="50" xfId="45" applyFont="1" applyFill="1" applyBorder="1" applyAlignment="1">
      <alignment wrapText="1"/>
    </xf>
    <xf numFmtId="1" fontId="19" fillId="0" borderId="20" xfId="44" applyNumberFormat="1" applyFont="1" applyBorder="1" applyAlignment="1">
      <alignment wrapText="1"/>
    </xf>
    <xf numFmtId="164" fontId="47" fillId="0" borderId="20" xfId="45" applyFont="1" applyBorder="1" applyAlignment="1">
      <alignment wrapText="1"/>
    </xf>
    <xf numFmtId="164" fontId="18" fillId="0" borderId="20" xfId="45" applyFont="1" applyBorder="1"/>
    <xf numFmtId="1" fontId="19" fillId="0" borderId="21" xfId="44" applyNumberFormat="1" applyFont="1" applyBorder="1" applyAlignment="1">
      <alignment wrapText="1"/>
    </xf>
    <xf numFmtId="164" fontId="19" fillId="0" borderId="22" xfId="45" applyFont="1" applyBorder="1" applyAlignment="1"/>
    <xf numFmtId="164" fontId="19" fillId="0" borderId="23" xfId="45" applyFont="1" applyBorder="1" applyAlignment="1"/>
    <xf numFmtId="164" fontId="18" fillId="0" borderId="0" xfId="45" applyFont="1"/>
    <xf numFmtId="0" fontId="22" fillId="0" borderId="0" xfId="44" applyNumberFormat="1" applyFont="1" applyFill="1" applyBorder="1" applyAlignment="1" applyProtection="1">
      <alignment vertical="center" wrapText="1"/>
    </xf>
    <xf numFmtId="164" fontId="22" fillId="0" borderId="0" xfId="45" applyFont="1" applyFill="1" applyBorder="1" applyAlignment="1" applyProtection="1">
      <alignment vertical="center" wrapText="1"/>
    </xf>
    <xf numFmtId="164" fontId="22" fillId="0" borderId="0" xfId="45" applyFont="1" applyFill="1" applyBorder="1" applyAlignment="1" applyProtection="1">
      <alignment horizontal="center" vertical="center" wrapText="1"/>
    </xf>
    <xf numFmtId="164" fontId="22" fillId="0" borderId="0" xfId="45" applyFont="1" applyFill="1" applyBorder="1" applyAlignment="1" applyProtection="1"/>
    <xf numFmtId="164" fontId="22" fillId="0" borderId="0" xfId="45" applyFont="1" applyFill="1" applyBorder="1" applyAlignment="1" applyProtection="1">
      <alignment horizontal="left" vertical="center" wrapText="1"/>
    </xf>
    <xf numFmtId="0" fontId="22" fillId="0" borderId="0" xfId="44" applyNumberFormat="1" applyFont="1" applyFill="1" applyBorder="1" applyAlignment="1" applyProtection="1">
      <alignment vertical="center"/>
    </xf>
    <xf numFmtId="0" fontId="22" fillId="0" borderId="0" xfId="44" applyNumberFormat="1" applyFont="1" applyFill="1" applyBorder="1" applyAlignment="1" applyProtection="1">
      <alignment horizontal="center" vertical="center"/>
    </xf>
    <xf numFmtId="0" fontId="22" fillId="0" borderId="0" xfId="46" applyNumberFormat="1" applyFont="1" applyFill="1" applyBorder="1" applyAlignment="1" applyProtection="1"/>
    <xf numFmtId="0" fontId="23" fillId="18" borderId="20" xfId="46" applyNumberFormat="1" applyFont="1" applyFill="1" applyBorder="1" applyAlignment="1" applyProtection="1">
      <alignment horizontal="center" vertical="center" wrapText="1"/>
    </xf>
    <xf numFmtId="0" fontId="23" fillId="18" borderId="22" xfId="46" applyNumberFormat="1" applyFont="1" applyFill="1" applyBorder="1" applyAlignment="1" applyProtection="1">
      <alignment horizontal="center" vertical="center" wrapText="1"/>
    </xf>
    <xf numFmtId="0" fontId="24" fillId="22" borderId="21" xfId="46" applyNumberFormat="1" applyFont="1" applyFill="1" applyBorder="1" applyAlignment="1" applyProtection="1">
      <alignment horizontal="center" vertical="center" wrapText="1"/>
    </xf>
    <xf numFmtId="0" fontId="23" fillId="22" borderId="20" xfId="46" applyNumberFormat="1" applyFont="1" applyFill="1" applyBorder="1" applyAlignment="1" applyProtection="1">
      <alignment horizontal="center" vertical="center" wrapText="1"/>
    </xf>
    <xf numFmtId="0" fontId="23" fillId="22" borderId="22" xfId="46" applyNumberFormat="1" applyFont="1" applyFill="1" applyBorder="1" applyAlignment="1" applyProtection="1">
      <alignment horizontal="center" vertical="center" wrapText="1"/>
    </xf>
    <xf numFmtId="0" fontId="24" fillId="0" borderId="0" xfId="46" applyNumberFormat="1" applyFont="1" applyFill="1" applyBorder="1" applyAlignment="1" applyProtection="1"/>
    <xf numFmtId="0" fontId="24" fillId="0" borderId="28" xfId="46" applyNumberFormat="1" applyFont="1" applyFill="1" applyBorder="1" applyAlignment="1" applyProtection="1">
      <alignment horizontal="center"/>
    </xf>
    <xf numFmtId="0" fontId="22" fillId="0" borderId="14" xfId="46" applyNumberFormat="1" applyFont="1" applyFill="1" applyBorder="1" applyAlignment="1" applyProtection="1">
      <alignment wrapText="1"/>
    </xf>
    <xf numFmtId="0" fontId="22" fillId="0" borderId="26" xfId="46" applyNumberFormat="1" applyFont="1" applyFill="1" applyBorder="1" applyAlignment="1" applyProtection="1"/>
    <xf numFmtId="0" fontId="24" fillId="0" borderId="13" xfId="46" applyNumberFormat="1" applyFont="1" applyFill="1" applyBorder="1" applyAlignment="1" applyProtection="1">
      <alignment horizontal="center" vertical="center"/>
    </xf>
    <xf numFmtId="0" fontId="24" fillId="0" borderId="15" xfId="46" applyNumberFormat="1" applyFont="1" applyFill="1" applyBorder="1" applyAlignment="1" applyProtection="1">
      <alignment horizontal="center" vertical="center"/>
    </xf>
    <xf numFmtId="0" fontId="24" fillId="0" borderId="20" xfId="46" applyNumberFormat="1" applyFont="1" applyFill="1" applyBorder="1" applyAlignment="1" applyProtection="1">
      <alignment horizontal="center"/>
    </xf>
    <xf numFmtId="0" fontId="24" fillId="0" borderId="22" xfId="46" applyNumberFormat="1" applyFont="1" applyFill="1" applyBorder="1" applyAlignment="1" applyProtection="1">
      <alignment horizontal="center"/>
    </xf>
    <xf numFmtId="0" fontId="24" fillId="0" borderId="42" xfId="46" applyNumberFormat="1" applyFont="1" applyFill="1" applyBorder="1" applyAlignment="1" applyProtection="1">
      <alignment horizontal="center"/>
    </xf>
    <xf numFmtId="0" fontId="48" fillId="25" borderId="42" xfId="46" applyNumberFormat="1" applyFont="1" applyFill="1" applyBorder="1" applyAlignment="1" applyProtection="1">
      <alignment wrapText="1"/>
    </xf>
    <xf numFmtId="4" fontId="24" fillId="0" borderId="42" xfId="46" applyNumberFormat="1" applyFont="1" applyFill="1" applyBorder="1" applyAlignment="1" applyProtection="1"/>
    <xf numFmtId="0" fontId="24" fillId="0" borderId="12" xfId="46" applyNumberFormat="1" applyFont="1" applyFill="1" applyBorder="1" applyAlignment="1" applyProtection="1">
      <alignment horizontal="center"/>
    </xf>
    <xf numFmtId="0" fontId="49" fillId="25" borderId="12" xfId="46" applyNumberFormat="1" applyFont="1" applyFill="1" applyBorder="1" applyAlignment="1" applyProtection="1">
      <alignment wrapText="1"/>
    </xf>
    <xf numFmtId="4" fontId="22" fillId="0" borderId="12" xfId="46" applyNumberFormat="1" applyFont="1" applyFill="1" applyBorder="1" applyAlignment="1" applyProtection="1"/>
    <xf numFmtId="0" fontId="24" fillId="21" borderId="12" xfId="46" applyNumberFormat="1" applyFont="1" applyFill="1" applyBorder="1" applyAlignment="1" applyProtection="1">
      <alignment wrapText="1"/>
    </xf>
    <xf numFmtId="4" fontId="24" fillId="21" borderId="12" xfId="46" applyNumberFormat="1" applyFont="1" applyFill="1" applyBorder="1" applyAlignment="1" applyProtection="1"/>
    <xf numFmtId="0" fontId="50" fillId="25" borderId="12" xfId="46" applyNumberFormat="1" applyFont="1" applyFill="1" applyBorder="1" applyAlignment="1" applyProtection="1">
      <alignment horizontal="center"/>
    </xf>
    <xf numFmtId="0" fontId="50" fillId="25" borderId="12" xfId="46" applyNumberFormat="1" applyFont="1" applyFill="1" applyBorder="1" applyAlignment="1" applyProtection="1">
      <alignment wrapText="1"/>
    </xf>
    <xf numFmtId="4" fontId="50" fillId="23" borderId="12" xfId="46" applyNumberFormat="1" applyFont="1" applyFill="1" applyBorder="1" applyAlignment="1" applyProtection="1"/>
    <xf numFmtId="0" fontId="50" fillId="0" borderId="0" xfId="46" applyNumberFormat="1" applyFont="1" applyFill="1" applyBorder="1" applyAlignment="1" applyProtection="1"/>
    <xf numFmtId="0" fontId="22" fillId="0" borderId="12" xfId="46" applyNumberFormat="1" applyFont="1" applyFill="1" applyBorder="1" applyAlignment="1" applyProtection="1">
      <alignment horizontal="center"/>
    </xf>
    <xf numFmtId="0" fontId="22" fillId="0" borderId="12" xfId="46" applyNumberFormat="1" applyFont="1" applyFill="1" applyBorder="1" applyAlignment="1" applyProtection="1">
      <alignment wrapText="1"/>
    </xf>
    <xf numFmtId="4" fontId="22" fillId="0" borderId="12" xfId="50" applyNumberFormat="1" applyFont="1" applyFill="1" applyBorder="1" applyAlignment="1" applyProtection="1"/>
    <xf numFmtId="4" fontId="18" fillId="0" borderId="12" xfId="46" applyNumberFormat="1" applyFont="1" applyFill="1" applyBorder="1" applyAlignment="1" applyProtection="1"/>
    <xf numFmtId="4" fontId="47" fillId="0" borderId="12" xfId="50" applyNumberFormat="1" applyFont="1" applyFill="1" applyBorder="1" applyAlignment="1" applyProtection="1"/>
    <xf numFmtId="4" fontId="46" fillId="0" borderId="12" xfId="50" applyNumberFormat="1" applyFont="1" applyFill="1" applyBorder="1" applyAlignment="1" applyProtection="1"/>
    <xf numFmtId="4" fontId="51" fillId="0" borderId="12" xfId="50" applyNumberFormat="1" applyFont="1" applyFill="1" applyBorder="1" applyAlignment="1" applyProtection="1"/>
    <xf numFmtId="4" fontId="47" fillId="0" borderId="12" xfId="46" applyNumberFormat="1" applyFont="1" applyFill="1" applyBorder="1" applyAlignment="1" applyProtection="1"/>
    <xf numFmtId="4" fontId="18" fillId="0" borderId="12" xfId="50" applyNumberFormat="1" applyFont="1" applyFill="1" applyBorder="1" applyAlignment="1" applyProtection="1"/>
    <xf numFmtId="4" fontId="24" fillId="0" borderId="12" xfId="46" applyNumberFormat="1" applyFont="1" applyFill="1" applyBorder="1" applyAlignment="1" applyProtection="1"/>
    <xf numFmtId="0" fontId="50" fillId="23" borderId="12" xfId="46" applyNumberFormat="1" applyFont="1" applyFill="1" applyBorder="1" applyAlignment="1" applyProtection="1">
      <alignment horizontal="center"/>
    </xf>
    <xf numFmtId="0" fontId="50" fillId="23" borderId="12" xfId="46" applyNumberFormat="1" applyFont="1" applyFill="1" applyBorder="1" applyAlignment="1" applyProtection="1">
      <alignment wrapText="1"/>
    </xf>
    <xf numFmtId="4" fontId="50" fillId="23" borderId="12" xfId="50" applyNumberFormat="1" applyFont="1" applyFill="1" applyBorder="1" applyAlignment="1" applyProtection="1"/>
    <xf numFmtId="0" fontId="25" fillId="0" borderId="12" xfId="46" applyNumberFormat="1" applyFont="1" applyFill="1" applyBorder="1" applyAlignment="1" applyProtection="1">
      <alignment wrapText="1"/>
    </xf>
    <xf numFmtId="0" fontId="24" fillId="25" borderId="12" xfId="46" applyNumberFormat="1" applyFont="1" applyFill="1" applyBorder="1" applyAlignment="1" applyProtection="1">
      <alignment horizontal="center"/>
    </xf>
    <xf numFmtId="0" fontId="24" fillId="25" borderId="12" xfId="46" applyNumberFormat="1" applyFont="1" applyFill="1" applyBorder="1" applyAlignment="1" applyProtection="1">
      <alignment wrapText="1"/>
    </xf>
    <xf numFmtId="4" fontId="22" fillId="21" borderId="12" xfId="46" applyNumberFormat="1" applyFont="1" applyFill="1" applyBorder="1" applyAlignment="1" applyProtection="1"/>
    <xf numFmtId="4" fontId="50" fillId="0" borderId="12" xfId="46" applyNumberFormat="1" applyFont="1" applyFill="1" applyBorder="1" applyAlignment="1" applyProtection="1"/>
    <xf numFmtId="4" fontId="24" fillId="0" borderId="12" xfId="50" applyNumberFormat="1" applyFont="1" applyFill="1" applyBorder="1" applyAlignment="1" applyProtection="1"/>
    <xf numFmtId="4" fontId="22" fillId="26" borderId="12" xfId="50" applyNumberFormat="1" applyFont="1" applyFill="1" applyBorder="1" applyAlignment="1" applyProtection="1"/>
    <xf numFmtId="0" fontId="21" fillId="0" borderId="0" xfId="46" applyNumberFormat="1" applyFont="1" applyFill="1" applyBorder="1" applyAlignment="1" applyProtection="1">
      <alignment horizontal="center"/>
    </xf>
    <xf numFmtId="0" fontId="20" fillId="0" borderId="0" xfId="46" applyNumberFormat="1" applyFont="1" applyFill="1" applyBorder="1" applyAlignment="1" applyProtection="1">
      <alignment wrapText="1"/>
    </xf>
    <xf numFmtId="4" fontId="20" fillId="0" borderId="0" xfId="46" applyNumberFormat="1" applyFont="1" applyFill="1" applyBorder="1" applyAlignment="1" applyProtection="1"/>
    <xf numFmtId="0" fontId="24" fillId="0" borderId="19" xfId="46" applyNumberFormat="1" applyFont="1" applyFill="1" applyBorder="1" applyAlignment="1" applyProtection="1">
      <alignment wrapText="1"/>
    </xf>
    <xf numFmtId="4" fontId="50" fillId="0" borderId="19" xfId="46" applyNumberFormat="1" applyFont="1" applyFill="1" applyBorder="1" applyAlignment="1" applyProtection="1"/>
    <xf numFmtId="0" fontId="24" fillId="0" borderId="0" xfId="46" applyNumberFormat="1" applyFont="1" applyFill="1" applyBorder="1" applyAlignment="1" applyProtection="1">
      <alignment horizontal="center"/>
    </xf>
    <xf numFmtId="0" fontId="22" fillId="0" borderId="0" xfId="46" applyNumberFormat="1" applyFont="1" applyFill="1" applyBorder="1" applyAlignment="1" applyProtection="1">
      <alignment wrapText="1"/>
    </xf>
    <xf numFmtId="4" fontId="51" fillId="0" borderId="0" xfId="46" applyNumberFormat="1" applyFont="1" applyFill="1" applyBorder="1" applyAlignment="1" applyProtection="1"/>
    <xf numFmtId="4" fontId="51" fillId="0" borderId="0" xfId="50" applyNumberFormat="1" applyFont="1" applyFill="1" applyBorder="1" applyAlignment="1" applyProtection="1"/>
    <xf numFmtId="4" fontId="22" fillId="0" borderId="0" xfId="46" applyNumberFormat="1" applyFont="1" applyFill="1" applyBorder="1" applyAlignment="1" applyProtection="1"/>
    <xf numFmtId="4" fontId="24" fillId="0" borderId="0" xfId="46" applyNumberFormat="1" applyFont="1" applyFill="1" applyBorder="1" applyAlignment="1" applyProtection="1"/>
    <xf numFmtId="4" fontId="24" fillId="0" borderId="0" xfId="50" applyNumberFormat="1" applyFont="1" applyFill="1" applyBorder="1" applyAlignment="1" applyProtection="1"/>
    <xf numFmtId="0" fontId="22" fillId="0" borderId="24" xfId="46" applyNumberFormat="1" applyFont="1" applyFill="1" applyBorder="1" applyAlignment="1" applyProtection="1">
      <alignment wrapText="1"/>
    </xf>
    <xf numFmtId="4" fontId="50" fillId="0" borderId="20" xfId="46" applyNumberFormat="1" applyFont="1" applyFill="1" applyBorder="1" applyAlignment="1" applyProtection="1"/>
    <xf numFmtId="3" fontId="50" fillId="0" borderId="13" xfId="46" applyNumberFormat="1" applyFont="1" applyFill="1" applyBorder="1" applyAlignment="1" applyProtection="1">
      <alignment horizontal="center"/>
    </xf>
    <xf numFmtId="3" fontId="50" fillId="0" borderId="14" xfId="46" applyNumberFormat="1" applyFont="1" applyFill="1" applyBorder="1" applyAlignment="1" applyProtection="1">
      <alignment horizontal="center"/>
    </xf>
    <xf numFmtId="3" fontId="50" fillId="0" borderId="15" xfId="46" applyNumberFormat="1" applyFont="1" applyFill="1" applyBorder="1" applyAlignment="1" applyProtection="1">
      <alignment horizontal="center"/>
    </xf>
    <xf numFmtId="4" fontId="50" fillId="0" borderId="42" xfId="46" applyNumberFormat="1" applyFont="1" applyFill="1" applyBorder="1" applyAlignment="1" applyProtection="1"/>
    <xf numFmtId="4" fontId="51" fillId="0" borderId="42" xfId="46" applyNumberFormat="1" applyFont="1" applyFill="1" applyBorder="1" applyAlignment="1" applyProtection="1"/>
    <xf numFmtId="4" fontId="51" fillId="0" borderId="12" xfId="46" applyNumberFormat="1" applyFont="1" applyFill="1" applyBorder="1" applyAlignment="1" applyProtection="1"/>
    <xf numFmtId="4" fontId="50" fillId="0" borderId="52" xfId="46" applyNumberFormat="1" applyFont="1" applyFill="1" applyBorder="1" applyAlignment="1" applyProtection="1"/>
    <xf numFmtId="4" fontId="51" fillId="0" borderId="52" xfId="46" applyNumberFormat="1" applyFont="1" applyFill="1" applyBorder="1" applyAlignment="1" applyProtection="1"/>
    <xf numFmtId="4" fontId="50" fillId="0" borderId="13" xfId="46" applyNumberFormat="1" applyFont="1" applyFill="1" applyBorder="1" applyAlignment="1" applyProtection="1"/>
    <xf numFmtId="4" fontId="50" fillId="0" borderId="14" xfId="46" applyNumberFormat="1" applyFont="1" applyFill="1" applyBorder="1" applyAlignment="1" applyProtection="1"/>
    <xf numFmtId="4" fontId="50" fillId="0" borderId="15" xfId="46" applyNumberFormat="1" applyFont="1" applyFill="1" applyBorder="1" applyAlignment="1" applyProtection="1"/>
    <xf numFmtId="4" fontId="49" fillId="0" borderId="0" xfId="46" applyNumberFormat="1" applyFont="1" applyFill="1" applyBorder="1" applyAlignment="1" applyProtection="1"/>
    <xf numFmtId="4" fontId="50" fillId="0" borderId="0" xfId="46" applyNumberFormat="1" applyFont="1" applyFill="1" applyBorder="1" applyAlignment="1" applyProtection="1"/>
    <xf numFmtId="0" fontId="21" fillId="18" borderId="0" xfId="46" applyNumberFormat="1" applyFont="1" applyFill="1" applyBorder="1" applyAlignment="1" applyProtection="1">
      <alignment horizontal="center"/>
    </xf>
    <xf numFmtId="0" fontId="20" fillId="18" borderId="0" xfId="46" applyNumberFormat="1" applyFont="1" applyFill="1" applyBorder="1" applyAlignment="1" applyProtection="1">
      <alignment wrapText="1"/>
    </xf>
    <xf numFmtId="0" fontId="20" fillId="18" borderId="0" xfId="46" applyNumberFormat="1" applyFont="1" applyFill="1" applyBorder="1" applyAlignment="1" applyProtection="1"/>
    <xf numFmtId="1" fontId="19" fillId="19" borderId="53" xfId="44" applyNumberFormat="1" applyFont="1" applyFill="1" applyBorder="1" applyAlignment="1">
      <alignment horizontal="left" wrapText="1"/>
    </xf>
    <xf numFmtId="1" fontId="47" fillId="19" borderId="54" xfId="44" applyNumberFormat="1" applyFont="1" applyFill="1" applyBorder="1" applyAlignment="1">
      <alignment horizontal="left" wrapText="1"/>
    </xf>
    <xf numFmtId="164" fontId="19" fillId="0" borderId="41" xfId="45" applyFont="1" applyFill="1" applyBorder="1" applyAlignment="1">
      <alignment vertical="center" wrapText="1"/>
    </xf>
    <xf numFmtId="164" fontId="19" fillId="0" borderId="42" xfId="45" applyFont="1" applyFill="1" applyBorder="1" applyAlignment="1">
      <alignment vertical="center" wrapText="1"/>
    </xf>
    <xf numFmtId="164" fontId="18" fillId="0" borderId="42" xfId="45" applyFont="1" applyFill="1" applyBorder="1" applyAlignment="1">
      <alignment vertical="center" wrapText="1"/>
    </xf>
    <xf numFmtId="164" fontId="19" fillId="0" borderId="54" xfId="45" applyFont="1" applyFill="1" applyBorder="1" applyAlignment="1">
      <alignment vertical="center" wrapText="1"/>
    </xf>
    <xf numFmtId="164" fontId="47" fillId="24" borderId="55" xfId="45" applyFont="1" applyFill="1" applyBorder="1" applyAlignment="1">
      <alignment wrapText="1"/>
    </xf>
    <xf numFmtId="1" fontId="18" fillId="0" borderId="24" xfId="44" applyNumberFormat="1" applyFont="1" applyBorder="1" applyAlignment="1">
      <alignment horizontal="left" wrapText="1"/>
    </xf>
    <xf numFmtId="164" fontId="18" fillId="0" borderId="54" xfId="45" applyFont="1" applyFill="1" applyBorder="1" applyAlignment="1">
      <alignment horizontal="center" vertical="center" wrapText="1"/>
    </xf>
    <xf numFmtId="164" fontId="47" fillId="24" borderId="39" xfId="45" applyFont="1" applyFill="1" applyBorder="1" applyAlignment="1">
      <alignment wrapText="1"/>
    </xf>
    <xf numFmtId="164" fontId="18" fillId="0" borderId="24" xfId="45" applyFont="1" applyFill="1" applyBorder="1"/>
    <xf numFmtId="164" fontId="47" fillId="0" borderId="10" xfId="45" applyFont="1" applyBorder="1" applyAlignment="1">
      <alignment wrapText="1"/>
    </xf>
    <xf numFmtId="164" fontId="18" fillId="0" borderId="10" xfId="45" applyFont="1" applyBorder="1"/>
    <xf numFmtId="164" fontId="18" fillId="0" borderId="18" xfId="45" applyFont="1" applyBorder="1"/>
    <xf numFmtId="164" fontId="47" fillId="0" borderId="45" xfId="45" applyFont="1" applyBorder="1" applyAlignment="1">
      <alignment horizontal="left" wrapText="1"/>
    </xf>
    <xf numFmtId="164" fontId="47" fillId="0" borderId="27" xfId="45" applyFont="1" applyFill="1" applyBorder="1"/>
    <xf numFmtId="164" fontId="47" fillId="0" borderId="12" xfId="45" applyFont="1" applyFill="1" applyBorder="1"/>
    <xf numFmtId="0" fontId="24" fillId="27" borderId="21" xfId="46" applyNumberFormat="1" applyFont="1" applyFill="1" applyBorder="1" applyAlignment="1" applyProtection="1">
      <alignment horizontal="center" vertical="center" wrapText="1"/>
    </xf>
    <xf numFmtId="0" fontId="23" fillId="27" borderId="20" xfId="46" applyNumberFormat="1" applyFont="1" applyFill="1" applyBorder="1" applyAlignment="1" applyProtection="1">
      <alignment horizontal="center" vertical="center" wrapText="1"/>
    </xf>
    <xf numFmtId="0" fontId="23" fillId="27" borderId="22" xfId="46" applyNumberFormat="1" applyFont="1" applyFill="1" applyBorder="1" applyAlignment="1" applyProtection="1">
      <alignment horizontal="center" vertical="center" wrapText="1"/>
    </xf>
    <xf numFmtId="0" fontId="24" fillId="28" borderId="21" xfId="46" applyNumberFormat="1" applyFont="1" applyFill="1" applyBorder="1" applyAlignment="1" applyProtection="1">
      <alignment horizontal="center" vertical="center" wrapText="1"/>
    </xf>
    <xf numFmtId="0" fontId="23" fillId="28" borderId="20" xfId="46" applyNumberFormat="1" applyFont="1" applyFill="1" applyBorder="1" applyAlignment="1" applyProtection="1">
      <alignment horizontal="center" vertical="center" wrapText="1"/>
    </xf>
    <xf numFmtId="0" fontId="23" fillId="28" borderId="22" xfId="46" applyNumberFormat="1" applyFont="1" applyFill="1" applyBorder="1" applyAlignment="1" applyProtection="1">
      <alignment horizontal="center" vertical="center" wrapText="1"/>
    </xf>
    <xf numFmtId="0" fontId="50" fillId="25" borderId="12" xfId="46" applyNumberFormat="1" applyFont="1" applyFill="1" applyBorder="1" applyAlignment="1" applyProtection="1">
      <alignment horizontal="center" wrapText="1"/>
    </xf>
    <xf numFmtId="0" fontId="24" fillId="21" borderId="12" xfId="46" applyNumberFormat="1" applyFont="1" applyFill="1" applyBorder="1" applyAlignment="1" applyProtection="1">
      <alignment horizontal="center" wrapText="1"/>
    </xf>
    <xf numFmtId="4" fontId="22" fillId="21" borderId="12" xfId="50" applyNumberFormat="1" applyFont="1" applyFill="1" applyBorder="1" applyAlignment="1" applyProtection="1"/>
    <xf numFmtId="0" fontId="32" fillId="0" borderId="0" xfId="42" applyFont="1" applyAlignment="1">
      <alignment horizontal="left" indent="1"/>
    </xf>
    <xf numFmtId="4" fontId="52" fillId="0" borderId="0" xfId="46" applyNumberFormat="1" applyFont="1" applyFill="1" applyBorder="1" applyAlignment="1" applyProtection="1"/>
    <xf numFmtId="4" fontId="53" fillId="0" borderId="0" xfId="46" applyNumberFormat="1" applyFont="1" applyFill="1" applyBorder="1" applyAlignment="1" applyProtection="1"/>
    <xf numFmtId="0" fontId="54" fillId="0" borderId="0" xfId="42" applyFont="1" applyBorder="1" applyAlignment="1"/>
    <xf numFmtId="4" fontId="32" fillId="0" borderId="0" xfId="45" applyNumberFormat="1" applyFont="1" applyAlignment="1"/>
    <xf numFmtId="4" fontId="32" fillId="0" borderId="0" xfId="42" applyNumberFormat="1" applyFont="1" applyAlignment="1"/>
    <xf numFmtId="0" fontId="32" fillId="0" borderId="0" xfId="42" applyFont="1" applyFill="1" applyAlignment="1">
      <alignment horizontal="left" indent="1"/>
    </xf>
    <xf numFmtId="0" fontId="34" fillId="0" borderId="56" xfId="42" applyFont="1" applyBorder="1" applyAlignment="1">
      <alignment horizontal="center" vertical="center" wrapText="1"/>
    </xf>
    <xf numFmtId="0" fontId="34" fillId="0" borderId="57" xfId="42" applyFont="1" applyBorder="1" applyAlignment="1">
      <alignment horizontal="center" vertical="center" wrapText="1"/>
    </xf>
    <xf numFmtId="4" fontId="55" fillId="29" borderId="20" xfId="42" applyNumberFormat="1" applyFont="1" applyFill="1" applyBorder="1" applyAlignment="1">
      <alignment horizontal="center" vertical="center" wrapText="1"/>
    </xf>
    <xf numFmtId="4" fontId="56" fillId="0" borderId="38" xfId="42" applyNumberFormat="1" applyFont="1" applyBorder="1" applyAlignment="1">
      <alignment horizontal="center" vertical="center"/>
    </xf>
    <xf numFmtId="4" fontId="56" fillId="0" borderId="58" xfId="42" applyNumberFormat="1" applyFont="1" applyBorder="1" applyAlignment="1">
      <alignment horizontal="center" vertical="center"/>
    </xf>
    <xf numFmtId="4" fontId="56" fillId="0" borderId="55" xfId="42" applyNumberFormat="1" applyFont="1" applyBorder="1" applyAlignment="1">
      <alignment horizontal="center" vertical="center"/>
    </xf>
    <xf numFmtId="4" fontId="55" fillId="28" borderId="20" xfId="42" applyNumberFormat="1" applyFont="1" applyFill="1" applyBorder="1" applyAlignment="1">
      <alignment horizontal="center" vertical="center" wrapText="1"/>
    </xf>
    <xf numFmtId="4" fontId="55" fillId="30" borderId="20" xfId="42" applyNumberFormat="1" applyFont="1" applyFill="1" applyBorder="1" applyAlignment="1">
      <alignment horizontal="center" vertical="center" wrapText="1"/>
    </xf>
    <xf numFmtId="0" fontId="34" fillId="31" borderId="60" xfId="42" applyFont="1" applyFill="1" applyBorder="1" applyAlignment="1">
      <alignment wrapText="1"/>
    </xf>
    <xf numFmtId="4" fontId="26" fillId="31" borderId="61" xfId="42" applyNumberFormat="1" applyFont="1" applyFill="1" applyBorder="1" applyAlignment="1">
      <alignment horizontal="right" wrapText="1"/>
    </xf>
    <xf numFmtId="4" fontId="26" fillId="31" borderId="54" xfId="42" applyNumberFormat="1" applyFont="1" applyFill="1" applyBorder="1" applyAlignment="1">
      <alignment horizontal="right" wrapText="1"/>
    </xf>
    <xf numFmtId="4" fontId="26" fillId="31" borderId="33" xfId="42" applyNumberFormat="1" applyFont="1" applyFill="1" applyBorder="1" applyAlignment="1">
      <alignment horizontal="right" wrapText="1"/>
    </xf>
    <xf numFmtId="0" fontId="34" fillId="25" borderId="63" xfId="42" applyFont="1" applyFill="1" applyBorder="1" applyAlignment="1">
      <alignment wrapText="1"/>
    </xf>
    <xf numFmtId="4" fontId="26" fillId="25" borderId="44" xfId="45" applyNumberFormat="1" applyFont="1" applyFill="1" applyBorder="1" applyAlignment="1">
      <alignment wrapText="1"/>
    </xf>
    <xf numFmtId="4" fontId="26" fillId="25" borderId="64" xfId="45" applyNumberFormat="1" applyFont="1" applyFill="1" applyBorder="1" applyAlignment="1">
      <alignment wrapText="1"/>
    </xf>
    <xf numFmtId="4" fontId="26" fillId="25" borderId="39" xfId="45" applyNumberFormat="1" applyFont="1" applyFill="1" applyBorder="1" applyAlignment="1">
      <alignment wrapText="1"/>
    </xf>
    <xf numFmtId="0" fontId="58" fillId="32" borderId="62" xfId="42" applyFont="1" applyFill="1" applyBorder="1" applyAlignment="1">
      <alignment wrapText="1"/>
    </xf>
    <xf numFmtId="0" fontId="58" fillId="32" borderId="63" xfId="42" applyFont="1" applyFill="1" applyBorder="1" applyAlignment="1">
      <alignment wrapText="1"/>
    </xf>
    <xf numFmtId="4" fontId="24" fillId="32" borderId="44" xfId="45" applyNumberFormat="1" applyFont="1" applyFill="1" applyBorder="1" applyAlignment="1">
      <alignment wrapText="1"/>
    </xf>
    <xf numFmtId="4" fontId="24" fillId="32" borderId="64" xfId="45" applyNumberFormat="1" applyFont="1" applyFill="1" applyBorder="1" applyAlignment="1">
      <alignment wrapText="1"/>
    </xf>
    <xf numFmtId="4" fontId="24" fillId="32" borderId="39" xfId="45" applyNumberFormat="1" applyFont="1" applyFill="1" applyBorder="1" applyAlignment="1">
      <alignment wrapText="1"/>
    </xf>
    <xf numFmtId="0" fontId="59" fillId="20" borderId="62" xfId="42" applyFont="1" applyFill="1" applyBorder="1" applyAlignment="1">
      <alignment horizontal="center" wrapText="1"/>
    </xf>
    <xf numFmtId="0" fontId="59" fillId="20" borderId="63" xfId="42" applyFont="1" applyFill="1" applyBorder="1" applyAlignment="1">
      <alignment wrapText="1"/>
    </xf>
    <xf numFmtId="4" fontId="32" fillId="0" borderId="44" xfId="42" applyNumberFormat="1" applyFont="1" applyBorder="1" applyAlignment="1"/>
    <xf numFmtId="4" fontId="32" fillId="0" borderId="64" xfId="42" applyNumberFormat="1" applyFont="1" applyBorder="1" applyAlignment="1"/>
    <xf numFmtId="4" fontId="32" fillId="0" borderId="39" xfId="42" applyNumberFormat="1" applyFont="1" applyBorder="1" applyAlignment="1"/>
    <xf numFmtId="4" fontId="32" fillId="0" borderId="44" xfId="45" applyNumberFormat="1" applyFont="1" applyBorder="1" applyAlignment="1"/>
    <xf numFmtId="4" fontId="32" fillId="0" borderId="64" xfId="45" applyNumberFormat="1" applyFont="1" applyBorder="1" applyAlignment="1"/>
    <xf numFmtId="0" fontId="58" fillId="32" borderId="62" xfId="42" applyFont="1" applyFill="1" applyBorder="1" applyAlignment="1">
      <alignment horizontal="left" wrapText="1"/>
    </xf>
    <xf numFmtId="4" fontId="32" fillId="0" borderId="39" xfId="45" applyNumberFormat="1" applyFont="1" applyBorder="1" applyAlignment="1"/>
    <xf numFmtId="4" fontId="34" fillId="32" borderId="44" xfId="45" applyNumberFormat="1" applyFont="1" applyFill="1" applyBorder="1" applyAlignment="1">
      <alignment wrapText="1"/>
    </xf>
    <xf numFmtId="4" fontId="34" fillId="32" borderId="64" xfId="45" applyNumberFormat="1" applyFont="1" applyFill="1" applyBorder="1" applyAlignment="1">
      <alignment wrapText="1"/>
    </xf>
    <xf numFmtId="4" fontId="34" fillId="32" borderId="39" xfId="45" applyNumberFormat="1" applyFont="1" applyFill="1" applyBorder="1" applyAlignment="1">
      <alignment wrapText="1"/>
    </xf>
    <xf numFmtId="0" fontId="34" fillId="25" borderId="66" xfId="42" applyFont="1" applyFill="1" applyBorder="1" applyAlignment="1">
      <alignment wrapText="1"/>
    </xf>
    <xf numFmtId="0" fontId="58" fillId="32" borderId="59" xfId="42" applyFont="1" applyFill="1" applyBorder="1" applyAlignment="1">
      <alignment horizontal="left" wrapText="1"/>
    </xf>
    <xf numFmtId="0" fontId="34" fillId="32" borderId="60" xfId="42" applyFont="1" applyFill="1" applyBorder="1" applyAlignment="1">
      <alignment wrapText="1"/>
    </xf>
    <xf numFmtId="4" fontId="24" fillId="32" borderId="67" xfId="45" applyNumberFormat="1" applyFont="1" applyFill="1" applyBorder="1" applyAlignment="1">
      <alignment wrapText="1"/>
    </xf>
    <xf numFmtId="4" fontId="24" fillId="32" borderId="68" xfId="45" applyNumberFormat="1" applyFont="1" applyFill="1" applyBorder="1" applyAlignment="1">
      <alignment wrapText="1"/>
    </xf>
    <xf numFmtId="4" fontId="24" fillId="32" borderId="33" xfId="45" applyNumberFormat="1" applyFont="1" applyFill="1" applyBorder="1" applyAlignment="1">
      <alignment wrapText="1"/>
    </xf>
    <xf numFmtId="0" fontId="60" fillId="26" borderId="62" xfId="42" applyFont="1" applyFill="1" applyBorder="1" applyAlignment="1">
      <alignment horizontal="center" wrapText="1"/>
    </xf>
    <xf numFmtId="0" fontId="59" fillId="20" borderId="69" xfId="42" applyFont="1" applyFill="1" applyBorder="1" applyAlignment="1">
      <alignment horizontal="center" wrapText="1"/>
    </xf>
    <xf numFmtId="0" fontId="59" fillId="20" borderId="70" xfId="42" applyFont="1" applyFill="1" applyBorder="1" applyAlignment="1">
      <alignment wrapText="1"/>
    </xf>
    <xf numFmtId="0" fontId="59" fillId="20" borderId="45" xfId="42" applyFont="1" applyFill="1" applyBorder="1" applyAlignment="1">
      <alignment horizontal="center" wrapText="1"/>
    </xf>
    <xf numFmtId="0" fontId="59" fillId="20" borderId="24" xfId="42" applyFont="1" applyFill="1" applyBorder="1" applyAlignment="1">
      <alignment wrapText="1"/>
    </xf>
    <xf numFmtId="0" fontId="34" fillId="31" borderId="72" xfId="42" applyFont="1" applyFill="1" applyBorder="1" applyAlignment="1">
      <alignment wrapText="1"/>
    </xf>
    <xf numFmtId="4" fontId="61" fillId="31" borderId="73" xfId="42" applyNumberFormat="1" applyFont="1" applyFill="1" applyBorder="1" applyAlignment="1">
      <alignment horizontal="right" wrapText="1"/>
    </xf>
    <xf numFmtId="4" fontId="61" fillId="31" borderId="58" xfId="42" applyNumberFormat="1" applyFont="1" applyFill="1" applyBorder="1" applyAlignment="1">
      <alignment horizontal="right" wrapText="1"/>
    </xf>
    <xf numFmtId="4" fontId="61" fillId="31" borderId="55" xfId="42" applyNumberFormat="1" applyFont="1" applyFill="1" applyBorder="1" applyAlignment="1">
      <alignment horizontal="right" wrapText="1"/>
    </xf>
    <xf numFmtId="4" fontId="62" fillId="25" borderId="74" xfId="42" applyNumberFormat="1" applyFont="1" applyFill="1" applyBorder="1" applyAlignment="1">
      <alignment horizontal="right" wrapText="1"/>
    </xf>
    <xf numFmtId="0" fontId="34" fillId="25" borderId="75" xfId="42" applyFont="1" applyFill="1" applyBorder="1" applyAlignment="1">
      <alignment wrapText="1"/>
    </xf>
    <xf numFmtId="4" fontId="61" fillId="25" borderId="44" xfId="45" applyNumberFormat="1" applyFont="1" applyFill="1" applyBorder="1" applyAlignment="1">
      <alignment wrapText="1"/>
    </xf>
    <xf numFmtId="4" fontId="61" fillId="25" borderId="64" xfId="45" applyNumberFormat="1" applyFont="1" applyFill="1" applyBorder="1" applyAlignment="1">
      <alignment wrapText="1"/>
    </xf>
    <xf numFmtId="4" fontId="61" fillId="25" borderId="39" xfId="45" applyNumberFormat="1" applyFont="1" applyFill="1" applyBorder="1" applyAlignment="1">
      <alignment wrapText="1"/>
    </xf>
    <xf numFmtId="0" fontId="58" fillId="32" borderId="74" xfId="42" applyFont="1" applyFill="1" applyBorder="1" applyAlignment="1">
      <alignment wrapText="1"/>
    </xf>
    <xf numFmtId="0" fontId="58" fillId="32" borderId="75" xfId="42" applyFont="1" applyFill="1" applyBorder="1" applyAlignment="1">
      <alignment wrapText="1"/>
    </xf>
    <xf numFmtId="4" fontId="63" fillId="32" borderId="44" xfId="45" applyNumberFormat="1" applyFont="1" applyFill="1" applyBorder="1" applyAlignment="1">
      <alignment wrapText="1"/>
    </xf>
    <xf numFmtId="4" fontId="63" fillId="32" borderId="64" xfId="45" applyNumberFormat="1" applyFont="1" applyFill="1" applyBorder="1" applyAlignment="1">
      <alignment wrapText="1"/>
    </xf>
    <xf numFmtId="4" fontId="63" fillId="32" borderId="39" xfId="45" applyNumberFormat="1" applyFont="1" applyFill="1" applyBorder="1" applyAlignment="1">
      <alignment wrapText="1"/>
    </xf>
    <xf numFmtId="0" fontId="59" fillId="20" borderId="74" xfId="42" applyFont="1" applyFill="1" applyBorder="1" applyAlignment="1">
      <alignment horizontal="center" wrapText="1"/>
    </xf>
    <xf numFmtId="0" fontId="59" fillId="20" borderId="75" xfId="42" applyFont="1" applyFill="1" applyBorder="1" applyAlignment="1">
      <alignment wrapText="1"/>
    </xf>
    <xf numFmtId="4" fontId="33" fillId="0" borderId="44" xfId="45" applyNumberFormat="1" applyFont="1" applyBorder="1" applyAlignment="1"/>
    <xf numFmtId="4" fontId="33" fillId="0" borderId="64" xfId="45" applyNumberFormat="1" applyFont="1" applyBorder="1" applyAlignment="1"/>
    <xf numFmtId="4" fontId="33" fillId="0" borderId="39" xfId="45" applyNumberFormat="1" applyFont="1" applyBorder="1" applyAlignment="1"/>
    <xf numFmtId="4" fontId="49" fillId="32" borderId="44" xfId="45" applyNumberFormat="1" applyFont="1" applyFill="1" applyBorder="1" applyAlignment="1">
      <alignment wrapText="1"/>
    </xf>
    <xf numFmtId="4" fontId="49" fillId="32" borderId="64" xfId="45" applyNumberFormat="1" applyFont="1" applyFill="1" applyBorder="1" applyAlignment="1">
      <alignment wrapText="1"/>
    </xf>
    <xf numFmtId="4" fontId="49" fillId="32" borderId="39" xfId="45" applyNumberFormat="1" applyFont="1" applyFill="1" applyBorder="1" applyAlignment="1">
      <alignment wrapText="1"/>
    </xf>
    <xf numFmtId="4" fontId="49" fillId="31" borderId="44" xfId="45" applyNumberFormat="1" applyFont="1" applyFill="1" applyBorder="1" applyAlignment="1">
      <alignment wrapText="1"/>
    </xf>
    <xf numFmtId="4" fontId="49" fillId="31" borderId="64" xfId="45" applyNumberFormat="1" applyFont="1" applyFill="1" applyBorder="1" applyAlignment="1">
      <alignment wrapText="1"/>
    </xf>
    <xf numFmtId="4" fontId="49" fillId="31" borderId="39" xfId="45" applyNumberFormat="1" applyFont="1" applyFill="1" applyBorder="1" applyAlignment="1">
      <alignment wrapText="1"/>
    </xf>
    <xf numFmtId="4" fontId="49" fillId="25" borderId="44" xfId="45" applyNumberFormat="1" applyFont="1" applyFill="1" applyBorder="1" applyAlignment="1">
      <alignment wrapText="1"/>
    </xf>
    <xf numFmtId="4" fontId="49" fillId="25" borderId="64" xfId="45" applyNumberFormat="1" applyFont="1" applyFill="1" applyBorder="1" applyAlignment="1">
      <alignment wrapText="1"/>
    </xf>
    <xf numFmtId="4" fontId="49" fillId="25" borderId="39" xfId="45" applyNumberFormat="1" applyFont="1" applyFill="1" applyBorder="1" applyAlignment="1">
      <alignment wrapText="1"/>
    </xf>
    <xf numFmtId="4" fontId="51" fillId="32" borderId="44" xfId="45" applyNumberFormat="1" applyFont="1" applyFill="1" applyBorder="1" applyAlignment="1">
      <alignment wrapText="1"/>
    </xf>
    <xf numFmtId="4" fontId="51" fillId="32" borderId="64" xfId="45" applyNumberFormat="1" applyFont="1" applyFill="1" applyBorder="1" applyAlignment="1">
      <alignment wrapText="1"/>
    </xf>
    <xf numFmtId="4" fontId="51" fillId="32" borderId="39" xfId="45" applyNumberFormat="1" applyFont="1" applyFill="1" applyBorder="1" applyAlignment="1">
      <alignment wrapText="1"/>
    </xf>
    <xf numFmtId="0" fontId="59" fillId="20" borderId="76" xfId="42" applyFont="1" applyFill="1" applyBorder="1" applyAlignment="1">
      <alignment horizontal="center" wrapText="1"/>
    </xf>
    <xf numFmtId="0" fontId="59" fillId="20" borderId="77" xfId="42" applyFont="1" applyFill="1" applyBorder="1" applyAlignment="1">
      <alignment wrapText="1"/>
    </xf>
    <xf numFmtId="4" fontId="33" fillId="0" borderId="78" xfId="45" applyNumberFormat="1" applyFont="1" applyBorder="1" applyAlignment="1"/>
    <xf numFmtId="4" fontId="33" fillId="0" borderId="77" xfId="45" applyNumberFormat="1" applyFont="1" applyBorder="1" applyAlignment="1"/>
    <xf numFmtId="4" fontId="33" fillId="0" borderId="76" xfId="45" applyNumberFormat="1" applyFont="1" applyBorder="1" applyAlignment="1"/>
    <xf numFmtId="0" fontId="55" fillId="24" borderId="21" xfId="42" applyFont="1" applyFill="1" applyBorder="1" applyAlignment="1"/>
    <xf numFmtId="4" fontId="55" fillId="24" borderId="23" xfId="45" applyNumberFormat="1" applyFont="1" applyFill="1" applyBorder="1" applyAlignment="1"/>
    <xf numFmtId="4" fontId="55" fillId="24" borderId="20" xfId="45" applyNumberFormat="1" applyFont="1" applyFill="1" applyBorder="1" applyAlignment="1"/>
    <xf numFmtId="4" fontId="32" fillId="0" borderId="0" xfId="42" applyNumberFormat="1" applyFont="1" applyAlignment="1">
      <alignment horizontal="left" indent="1"/>
    </xf>
    <xf numFmtId="4" fontId="32" fillId="0" borderId="39" xfId="45" applyNumberFormat="1" applyFont="1" applyFill="1" applyBorder="1" applyAlignment="1"/>
    <xf numFmtId="4" fontId="61" fillId="31" borderId="39" xfId="42" applyNumberFormat="1" applyFont="1" applyFill="1" applyBorder="1" applyAlignment="1">
      <alignment horizontal="right" wrapText="1"/>
    </xf>
    <xf numFmtId="4" fontId="50" fillId="32" borderId="39" xfId="45" applyNumberFormat="1" applyFont="1" applyFill="1" applyBorder="1" applyAlignment="1">
      <alignment wrapText="1"/>
    </xf>
    <xf numFmtId="4" fontId="33" fillId="0" borderId="79" xfId="45" applyNumberFormat="1" applyFont="1" applyBorder="1" applyAlignment="1"/>
    <xf numFmtId="4" fontId="55" fillId="29" borderId="20" xfId="45" applyNumberFormat="1" applyFont="1" applyFill="1" applyBorder="1" applyAlignment="1"/>
    <xf numFmtId="0" fontId="61" fillId="31" borderId="39" xfId="42" applyFont="1" applyFill="1" applyBorder="1" applyAlignment="1">
      <alignment horizontal="center" wrapText="1"/>
    </xf>
    <xf numFmtId="0" fontId="57" fillId="31" borderId="71" xfId="42" applyFont="1" applyFill="1" applyBorder="1" applyAlignment="1">
      <alignment horizontal="center" wrapText="1"/>
    </xf>
    <xf numFmtId="0" fontId="62" fillId="25" borderId="39" xfId="42" applyFont="1" applyFill="1" applyBorder="1" applyAlignment="1">
      <alignment horizontal="right" wrapText="1"/>
    </xf>
    <xf numFmtId="0" fontId="62" fillId="32" borderId="39" xfId="42" applyFont="1" applyFill="1" applyBorder="1" applyAlignment="1">
      <alignment horizontal="left" wrapText="1"/>
    </xf>
    <xf numFmtId="0" fontId="34" fillId="25" borderId="65" xfId="42" applyFont="1" applyFill="1" applyBorder="1" applyAlignment="1">
      <alignment horizontal="right"/>
    </xf>
    <xf numFmtId="0" fontId="34" fillId="25" borderId="62" xfId="42" applyFont="1" applyFill="1" applyBorder="1" applyAlignment="1">
      <alignment horizontal="right" wrapText="1"/>
    </xf>
    <xf numFmtId="0" fontId="57" fillId="31" borderId="59" xfId="42" applyFont="1" applyFill="1" applyBorder="1" applyAlignment="1">
      <alignment horizontal="center" wrapText="1"/>
    </xf>
    <xf numFmtId="0" fontId="64" fillId="0" borderId="0" xfId="42" applyFont="1" applyBorder="1" applyAlignment="1"/>
    <xf numFmtId="0" fontId="65" fillId="0" borderId="0" xfId="42" applyFont="1" applyAlignment="1">
      <alignment horizontal="left" indent="1"/>
    </xf>
    <xf numFmtId="4" fontId="66" fillId="0" borderId="39" xfId="45" applyNumberFormat="1" applyFont="1" applyBorder="1" applyAlignment="1"/>
    <xf numFmtId="4" fontId="66" fillId="0" borderId="44" xfId="45" applyNumberFormat="1" applyFont="1" applyBorder="1" applyAlignment="1"/>
    <xf numFmtId="4" fontId="66" fillId="0" borderId="64" xfId="45" applyNumberFormat="1" applyFont="1" applyBorder="1" applyAlignment="1"/>
    <xf numFmtId="4" fontId="66" fillId="0" borderId="39" xfId="42" applyNumberFormat="1" applyFont="1" applyBorder="1" applyAlignment="1"/>
    <xf numFmtId="4" fontId="66" fillId="0" borderId="39" xfId="45" applyNumberFormat="1" applyFont="1" applyFill="1" applyBorder="1" applyAlignment="1"/>
    <xf numFmtId="0" fontId="62" fillId="31" borderId="64" xfId="42" applyFont="1" applyFill="1" applyBorder="1" applyAlignment="1">
      <alignment wrapText="1"/>
    </xf>
    <xf numFmtId="0" fontId="62" fillId="25" borderId="64" xfId="42" applyFont="1" applyFill="1" applyBorder="1" applyAlignment="1">
      <alignment wrapText="1"/>
    </xf>
    <xf numFmtId="0" fontId="62" fillId="32" borderId="64" xfId="42" applyFont="1" applyFill="1" applyBorder="1" applyAlignment="1">
      <alignment wrapText="1"/>
    </xf>
    <xf numFmtId="0" fontId="34" fillId="20" borderId="80" xfId="42" applyFont="1" applyFill="1" applyBorder="1" applyAlignment="1">
      <alignment wrapText="1"/>
    </xf>
    <xf numFmtId="4" fontId="34" fillId="20" borderId="80" xfId="42" applyNumberFormat="1" applyFont="1" applyFill="1" applyBorder="1" applyAlignment="1">
      <alignment horizontal="right" wrapText="1"/>
    </xf>
    <xf numFmtId="0" fontId="34" fillId="0" borderId="42" xfId="42" applyFont="1" applyBorder="1" applyAlignment="1">
      <alignment vertical="center" wrapText="1"/>
    </xf>
    <xf numFmtId="0" fontId="34" fillId="0" borderId="81" xfId="42" applyFont="1" applyBorder="1" applyAlignment="1">
      <alignment vertical="center" wrapText="1"/>
    </xf>
    <xf numFmtId="0" fontId="34" fillId="0" borderId="81" xfId="42" applyFont="1" applyBorder="1" applyAlignment="1">
      <alignment horizontal="center" vertical="center" wrapText="1"/>
    </xf>
    <xf numFmtId="0" fontId="34" fillId="0" borderId="82" xfId="42" applyFont="1" applyBorder="1" applyAlignment="1">
      <alignment horizontal="center" vertical="center" wrapText="1"/>
    </xf>
    <xf numFmtId="4" fontId="34" fillId="0" borderId="42" xfId="42" applyNumberFormat="1" applyFont="1" applyBorder="1" applyAlignment="1">
      <alignment horizontal="right" vertical="center" wrapText="1"/>
    </xf>
    <xf numFmtId="0" fontId="19" fillId="0" borderId="83" xfId="42" applyFont="1" applyBorder="1" applyAlignment="1">
      <alignment horizontal="center" vertical="center" wrapText="1"/>
    </xf>
    <xf numFmtId="0" fontId="34" fillId="0" borderId="84" xfId="42" applyFont="1" applyBorder="1" applyAlignment="1">
      <alignment horizontal="left" vertical="center" wrapText="1"/>
    </xf>
    <xf numFmtId="0" fontId="34" fillId="0" borderId="84" xfId="42" applyFont="1" applyBorder="1" applyAlignment="1">
      <alignment horizontal="center" vertical="center" wrapText="1"/>
    </xf>
    <xf numFmtId="0" fontId="34" fillId="0" borderId="85" xfId="42" applyFont="1" applyBorder="1" applyAlignment="1">
      <alignment horizontal="center" vertical="center" wrapText="1"/>
    </xf>
    <xf numFmtId="0" fontId="19" fillId="20" borderId="62" xfId="42" applyFont="1" applyFill="1" applyBorder="1" applyAlignment="1">
      <alignment horizontal="left" vertical="center" wrapText="1"/>
    </xf>
    <xf numFmtId="4" fontId="34" fillId="20" borderId="86" xfId="42" applyNumberFormat="1" applyFont="1" applyFill="1" applyBorder="1" applyAlignment="1">
      <alignment vertical="center" wrapText="1"/>
    </xf>
    <xf numFmtId="0" fontId="18" fillId="20" borderId="62" xfId="42" applyFont="1" applyFill="1" applyBorder="1" applyAlignment="1">
      <alignment horizontal="left" vertical="center" wrapText="1"/>
    </xf>
    <xf numFmtId="4" fontId="36" fillId="20" borderId="86" xfId="42" applyNumberFormat="1" applyFont="1" applyFill="1" applyBorder="1" applyAlignment="1">
      <alignment vertical="center" wrapText="1"/>
    </xf>
    <xf numFmtId="0" fontId="18" fillId="20" borderId="87" xfId="42" applyFont="1" applyFill="1" applyBorder="1" applyAlignment="1">
      <alignment horizontal="left" vertical="center" wrapText="1"/>
    </xf>
    <xf numFmtId="0" fontId="43" fillId="20" borderId="88" xfId="42" applyFont="1" applyFill="1" applyBorder="1" applyAlignment="1">
      <alignment horizontal="left" wrapText="1"/>
    </xf>
    <xf numFmtId="4" fontId="36" fillId="20" borderId="88" xfId="42" applyNumberFormat="1" applyFont="1" applyFill="1" applyBorder="1" applyAlignment="1">
      <alignment vertical="center" wrapText="1"/>
    </xf>
    <xf numFmtId="4" fontId="36" fillId="20" borderId="89" xfId="42" applyNumberFormat="1" applyFont="1" applyFill="1" applyBorder="1" applyAlignment="1">
      <alignment vertical="center" wrapText="1"/>
    </xf>
    <xf numFmtId="0" fontId="34" fillId="0" borderId="40" xfId="42" applyFont="1" applyBorder="1" applyAlignment="1">
      <alignment horizontal="center" vertical="center" wrapText="1"/>
    </xf>
    <xf numFmtId="4" fontId="34" fillId="0" borderId="43" xfId="42" applyNumberFormat="1" applyFont="1" applyBorder="1" applyAlignment="1">
      <alignment horizontal="right" vertical="center" wrapText="1"/>
    </xf>
    <xf numFmtId="0" fontId="34" fillId="20" borderId="59" xfId="42" applyFont="1" applyFill="1" applyBorder="1" applyAlignment="1">
      <alignment horizontal="left" wrapText="1" indent="4"/>
    </xf>
    <xf numFmtId="4" fontId="34" fillId="20" borderId="90" xfId="42" applyNumberFormat="1" applyFont="1" applyFill="1" applyBorder="1" applyAlignment="1">
      <alignment horizontal="right" wrapText="1"/>
    </xf>
    <xf numFmtId="0" fontId="34" fillId="20" borderId="62" xfId="42" applyFont="1" applyFill="1" applyBorder="1" applyAlignment="1">
      <alignment horizontal="left" wrapText="1" indent="4"/>
    </xf>
    <xf numFmtId="4" fontId="34" fillId="20" borderId="86" xfId="42" applyNumberFormat="1" applyFont="1" applyFill="1" applyBorder="1" applyAlignment="1">
      <alignment horizontal="right" wrapText="1"/>
    </xf>
    <xf numFmtId="0" fontId="43" fillId="20" borderId="62" xfId="42" applyFont="1" applyFill="1" applyBorder="1" applyAlignment="1">
      <alignment horizontal="left" wrapText="1" indent="5"/>
    </xf>
    <xf numFmtId="4" fontId="36" fillId="20" borderId="86" xfId="42" applyNumberFormat="1" applyFont="1" applyFill="1" applyBorder="1" applyAlignment="1">
      <alignment horizontal="right" wrapText="1"/>
    </xf>
    <xf numFmtId="4" fontId="44" fillId="20" borderId="86" xfId="42" applyNumberFormat="1" applyFont="1" applyFill="1" applyBorder="1" applyAlignment="1">
      <alignment horizontal="right" wrapText="1"/>
    </xf>
    <xf numFmtId="4" fontId="37" fillId="20" borderId="86" xfId="42" applyNumberFormat="1" applyFont="1" applyFill="1" applyBorder="1" applyAlignment="1">
      <alignment horizontal="right" wrapText="1"/>
    </xf>
    <xf numFmtId="0" fontId="43" fillId="20" borderId="87" xfId="42" applyFont="1" applyFill="1" applyBorder="1" applyAlignment="1">
      <alignment horizontal="left" wrapText="1" indent="5"/>
    </xf>
    <xf numFmtId="0" fontId="43" fillId="20" borderId="88" xfId="42" applyFont="1" applyFill="1" applyBorder="1" applyAlignment="1">
      <alignment wrapText="1"/>
    </xf>
    <xf numFmtId="4" fontId="36" fillId="20" borderId="88" xfId="42" applyNumberFormat="1" applyFont="1" applyFill="1" applyBorder="1" applyAlignment="1">
      <alignment horizontal="right" wrapText="1"/>
    </xf>
    <xf numFmtId="4" fontId="36" fillId="20" borderId="89" xfId="42" applyNumberFormat="1" applyFont="1" applyFill="1" applyBorder="1" applyAlignment="1">
      <alignment horizontal="right" wrapText="1"/>
    </xf>
    <xf numFmtId="0" fontId="42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40" fillId="0" borderId="0" xfId="0" quotePrefix="1" applyNumberFormat="1" applyFont="1" applyFill="1" applyBorder="1" applyAlignment="1" applyProtection="1">
      <alignment horizontal="center" vertical="center" wrapText="1"/>
    </xf>
    <xf numFmtId="0" fontId="39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8" fillId="0" borderId="24" xfId="0" applyNumberFormat="1" applyFont="1" applyFill="1" applyBorder="1" applyAlignment="1" applyProtection="1">
      <alignment horizontal="left" wrapText="1"/>
    </xf>
    <xf numFmtId="0" fontId="29" fillId="0" borderId="11" xfId="0" applyNumberFormat="1" applyFont="1" applyFill="1" applyBorder="1" applyAlignment="1" applyProtection="1">
      <alignment wrapText="1"/>
    </xf>
    <xf numFmtId="0" fontId="28" fillId="23" borderId="24" xfId="0" quotePrefix="1" applyNumberFormat="1" applyFont="1" applyFill="1" applyBorder="1" applyAlignment="1" applyProtection="1">
      <alignment horizontal="left" wrapText="1"/>
    </xf>
    <xf numFmtId="0" fontId="29" fillId="23" borderId="11" xfId="0" applyNumberFormat="1" applyFont="1" applyFill="1" applyBorder="1" applyAlignment="1" applyProtection="1">
      <alignment wrapText="1"/>
    </xf>
    <xf numFmtId="0" fontId="28" fillId="0" borderId="24" xfId="0" quotePrefix="1" applyNumberFormat="1" applyFont="1" applyFill="1" applyBorder="1" applyAlignment="1" applyProtection="1">
      <alignment horizontal="left" wrapText="1"/>
    </xf>
    <xf numFmtId="0" fontId="26" fillId="23" borderId="24" xfId="0" applyNumberFormat="1" applyFont="1" applyFill="1" applyBorder="1" applyAlignment="1" applyProtection="1">
      <alignment horizontal="left" wrapText="1"/>
    </xf>
    <xf numFmtId="0" fontId="26" fillId="23" borderId="11" xfId="0" applyNumberFormat="1" applyFont="1" applyFill="1" applyBorder="1" applyAlignment="1" applyProtection="1">
      <alignment horizontal="left" wrapText="1"/>
    </xf>
    <xf numFmtId="0" fontId="26" fillId="23" borderId="27" xfId="0" applyNumberFormat="1" applyFont="1" applyFill="1" applyBorder="1" applyAlignment="1" applyProtection="1">
      <alignment horizontal="left" wrapText="1"/>
    </xf>
    <xf numFmtId="0" fontId="41" fillId="0" borderId="0" xfId="0" applyNumberFormat="1" applyFont="1" applyFill="1" applyBorder="1" applyAlignment="1" applyProtection="1">
      <alignment horizontal="left"/>
    </xf>
    <xf numFmtId="0" fontId="4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3" borderId="24" xfId="0" applyNumberFormat="1" applyFont="1" applyFill="1" applyBorder="1" applyAlignment="1" applyProtection="1">
      <alignment horizontal="left" wrapText="1"/>
    </xf>
    <xf numFmtId="0" fontId="18" fillId="23" borderId="11" xfId="0" applyNumberFormat="1" applyFont="1" applyFill="1" applyBorder="1" applyAlignment="1" applyProtection="1"/>
    <xf numFmtId="0" fontId="18" fillId="0" borderId="11" xfId="0" applyNumberFormat="1" applyFont="1" applyFill="1" applyBorder="1" applyAlignment="1" applyProtection="1"/>
    <xf numFmtId="0" fontId="28" fillId="0" borderId="24" xfId="0" quotePrefix="1" applyFont="1" applyFill="1" applyBorder="1" applyAlignment="1">
      <alignment horizontal="left"/>
    </xf>
    <xf numFmtId="0" fontId="18" fillId="0" borderId="11" xfId="0" applyNumberFormat="1" applyFont="1" applyFill="1" applyBorder="1" applyAlignment="1" applyProtection="1">
      <alignment wrapText="1"/>
    </xf>
    <xf numFmtId="0" fontId="28" fillId="0" borderId="24" xfId="0" quotePrefix="1" applyFont="1" applyBorder="1" applyAlignment="1">
      <alignment horizontal="left"/>
    </xf>
    <xf numFmtId="0" fontId="26" fillId="21" borderId="24" xfId="0" applyNumberFormat="1" applyFont="1" applyFill="1" applyBorder="1" applyAlignment="1" applyProtection="1">
      <alignment horizontal="left" wrapText="1"/>
    </xf>
    <xf numFmtId="0" fontId="26" fillId="21" borderId="11" xfId="0" applyNumberFormat="1" applyFont="1" applyFill="1" applyBorder="1" applyAlignment="1" applyProtection="1">
      <alignment horizontal="left" wrapText="1"/>
    </xf>
    <xf numFmtId="0" fontId="26" fillId="21" borderId="27" xfId="0" applyNumberFormat="1" applyFont="1" applyFill="1" applyBorder="1" applyAlignment="1" applyProtection="1">
      <alignment horizontal="left" wrapText="1"/>
    </xf>
    <xf numFmtId="0" fontId="32" fillId="0" borderId="0" xfId="42" applyFont="1" applyAlignment="1">
      <alignment horizontal="left" wrapText="1" indent="1"/>
    </xf>
    <xf numFmtId="0" fontId="32" fillId="0" borderId="0" xfId="42" applyFont="1" applyAlignment="1">
      <alignment horizontal="left" indent="1"/>
    </xf>
    <xf numFmtId="164" fontId="19" fillId="0" borderId="22" xfId="45" applyFont="1" applyBorder="1" applyAlignment="1">
      <alignment horizontal="center" wrapText="1"/>
    </xf>
    <xf numFmtId="0" fontId="26" fillId="0" borderId="21" xfId="44" applyNumberFormat="1" applyFont="1" applyFill="1" applyBorder="1" applyAlignment="1" applyProtection="1">
      <alignment horizontal="center" vertical="center" wrapText="1"/>
    </xf>
    <xf numFmtId="0" fontId="26" fillId="0" borderId="22" xfId="44" applyNumberFormat="1" applyFont="1" applyFill="1" applyBorder="1" applyAlignment="1" applyProtection="1">
      <alignment horizontal="center" vertical="center" wrapText="1"/>
    </xf>
    <xf numFmtId="0" fontId="26" fillId="0" borderId="23" xfId="44" applyNumberFormat="1" applyFont="1" applyFill="1" applyBorder="1" applyAlignment="1" applyProtection="1">
      <alignment horizontal="center" vertical="center" wrapText="1"/>
    </xf>
    <xf numFmtId="0" fontId="19" fillId="0" borderId="29" xfId="44" applyFont="1" applyFill="1" applyBorder="1" applyAlignment="1">
      <alignment horizontal="center" vertical="center"/>
    </xf>
    <xf numFmtId="0" fontId="19" fillId="0" borderId="30" xfId="44" applyFont="1" applyFill="1" applyBorder="1" applyAlignment="1">
      <alignment horizontal="center" vertical="center"/>
    </xf>
    <xf numFmtId="0" fontId="19" fillId="0" borderId="31" xfId="44" applyFont="1" applyFill="1" applyBorder="1" applyAlignment="1">
      <alignment horizontal="center" vertical="center"/>
    </xf>
    <xf numFmtId="0" fontId="26" fillId="0" borderId="51" xfId="46" applyNumberFormat="1" applyFont="1" applyFill="1" applyBorder="1" applyAlignment="1" applyProtection="1">
      <alignment horizontal="center" vertical="center"/>
    </xf>
    <xf numFmtId="0" fontId="23" fillId="22" borderId="21" xfId="46" applyNumberFormat="1" applyFont="1" applyFill="1" applyBorder="1" applyAlignment="1" applyProtection="1">
      <alignment horizontal="center" vertical="center" wrapText="1"/>
    </xf>
    <xf numFmtId="0" fontId="23" fillId="22" borderId="23" xfId="46" applyNumberFormat="1" applyFont="1" applyFill="1" applyBorder="1" applyAlignment="1" applyProtection="1">
      <alignment horizontal="center" vertical="center" wrapText="1"/>
    </xf>
    <xf numFmtId="0" fontId="23" fillId="27" borderId="21" xfId="46" applyNumberFormat="1" applyFont="1" applyFill="1" applyBorder="1" applyAlignment="1" applyProtection="1">
      <alignment horizontal="center" vertical="center" wrapText="1"/>
    </xf>
    <xf numFmtId="0" fontId="23" fillId="27" borderId="23" xfId="46" applyNumberFormat="1" applyFont="1" applyFill="1" applyBorder="1" applyAlignment="1" applyProtection="1">
      <alignment horizontal="center" vertical="center" wrapText="1"/>
    </xf>
    <xf numFmtId="0" fontId="23" fillId="28" borderId="21" xfId="46" applyNumberFormat="1" applyFont="1" applyFill="1" applyBorder="1" applyAlignment="1" applyProtection="1">
      <alignment horizontal="center" vertical="center" wrapText="1"/>
    </xf>
    <xf numFmtId="0" fontId="23" fillId="28" borderId="23" xfId="46" applyNumberFormat="1" applyFont="1" applyFill="1" applyBorder="1" applyAlignment="1" applyProtection="1">
      <alignment horizontal="center" vertical="center" wrapText="1"/>
    </xf>
  </cellXfs>
  <cellStyles count="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no 2" xfId="42"/>
    <cellStyle name="Note" xfId="37"/>
    <cellStyle name="Obično" xfId="0" builtinId="0"/>
    <cellStyle name="Obično 2" xfId="46"/>
    <cellStyle name="Obično 3" xfId="44"/>
    <cellStyle name="Obično 3 2" xfId="47"/>
    <cellStyle name="Obično 3 3" xfId="48"/>
    <cellStyle name="Output" xfId="38"/>
    <cellStyle name="Title" xfId="39"/>
    <cellStyle name="Total" xfId="40"/>
    <cellStyle name="Warning Text" xfId="41"/>
    <cellStyle name="Zarez 2" xfId="45"/>
    <cellStyle name="Zarez 2 2" xfId="49"/>
    <cellStyle name="Zarez 2 3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184731" cy="264560"/>
    <xdr:sp macro="" textlink="">
      <xdr:nvSpPr>
        <xdr:cNvPr id="2" name="TekstniOkvir 1"/>
        <xdr:cNvSpPr txBox="1"/>
      </xdr:nvSpPr>
      <xdr:spPr>
        <a:xfrm>
          <a:off x="100488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0</xdr:colOff>
      <xdr:row>0</xdr:row>
      <xdr:rowOff>161925</xdr:rowOff>
    </xdr:from>
    <xdr:ext cx="184731" cy="264560"/>
    <xdr:sp macro="" textlink="">
      <xdr:nvSpPr>
        <xdr:cNvPr id="3" name="TekstniOkvir 2"/>
        <xdr:cNvSpPr txBox="1"/>
      </xdr:nvSpPr>
      <xdr:spPr>
        <a:xfrm>
          <a:off x="1004887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7"/>
  <sheetViews>
    <sheetView view="pageBreakPreview" zoomScale="70" zoomScaleSheetLayoutView="70" workbookViewId="0">
      <selection activeCell="G42" sqref="G42"/>
    </sheetView>
  </sheetViews>
  <sheetFormatPr defaultColWidth="11.42578125" defaultRowHeight="12.75"/>
  <cols>
    <col min="1" max="2" width="4.28515625" style="3" customWidth="1"/>
    <col min="3" max="3" width="5.5703125" style="3" customWidth="1"/>
    <col min="4" max="4" width="5.28515625" style="2" customWidth="1"/>
    <col min="5" max="5" width="44.7109375" style="3" customWidth="1"/>
    <col min="6" max="8" width="38.140625" style="3" customWidth="1"/>
    <col min="9" max="254" width="11.42578125" style="3"/>
    <col min="255" max="256" width="4.28515625" style="3" customWidth="1"/>
    <col min="257" max="257" width="5.5703125" style="3" customWidth="1"/>
    <col min="258" max="258" width="5.28515625" style="3" customWidth="1"/>
    <col min="259" max="259" width="44.7109375" style="3" customWidth="1"/>
    <col min="260" max="260" width="15.85546875" style="3" bestFit="1" customWidth="1"/>
    <col min="261" max="261" width="17.28515625" style="3" customWidth="1"/>
    <col min="262" max="262" width="16.7109375" style="3" customWidth="1"/>
    <col min="263" max="263" width="11.42578125" style="3"/>
    <col min="264" max="264" width="16.28515625" style="3" bestFit="1" customWidth="1"/>
    <col min="265" max="265" width="21.7109375" style="3" bestFit="1" customWidth="1"/>
    <col min="266" max="510" width="11.42578125" style="3"/>
    <col min="511" max="512" width="4.28515625" style="3" customWidth="1"/>
    <col min="513" max="513" width="5.5703125" style="3" customWidth="1"/>
    <col min="514" max="514" width="5.28515625" style="3" customWidth="1"/>
    <col min="515" max="515" width="44.7109375" style="3" customWidth="1"/>
    <col min="516" max="516" width="15.85546875" style="3" bestFit="1" customWidth="1"/>
    <col min="517" max="517" width="17.28515625" style="3" customWidth="1"/>
    <col min="518" max="518" width="16.7109375" style="3" customWidth="1"/>
    <col min="519" max="519" width="11.42578125" style="3"/>
    <col min="520" max="520" width="16.28515625" style="3" bestFit="1" customWidth="1"/>
    <col min="521" max="521" width="21.7109375" style="3" bestFit="1" customWidth="1"/>
    <col min="522" max="766" width="11.42578125" style="3"/>
    <col min="767" max="768" width="4.28515625" style="3" customWidth="1"/>
    <col min="769" max="769" width="5.5703125" style="3" customWidth="1"/>
    <col min="770" max="770" width="5.28515625" style="3" customWidth="1"/>
    <col min="771" max="771" width="44.7109375" style="3" customWidth="1"/>
    <col min="772" max="772" width="15.85546875" style="3" bestFit="1" customWidth="1"/>
    <col min="773" max="773" width="17.28515625" style="3" customWidth="1"/>
    <col min="774" max="774" width="16.7109375" style="3" customWidth="1"/>
    <col min="775" max="775" width="11.42578125" style="3"/>
    <col min="776" max="776" width="16.28515625" style="3" bestFit="1" customWidth="1"/>
    <col min="777" max="777" width="21.7109375" style="3" bestFit="1" customWidth="1"/>
    <col min="778" max="1022" width="11.42578125" style="3"/>
    <col min="1023" max="1024" width="4.28515625" style="3" customWidth="1"/>
    <col min="1025" max="1025" width="5.5703125" style="3" customWidth="1"/>
    <col min="1026" max="1026" width="5.28515625" style="3" customWidth="1"/>
    <col min="1027" max="1027" width="44.7109375" style="3" customWidth="1"/>
    <col min="1028" max="1028" width="15.85546875" style="3" bestFit="1" customWidth="1"/>
    <col min="1029" max="1029" width="17.28515625" style="3" customWidth="1"/>
    <col min="1030" max="1030" width="16.7109375" style="3" customWidth="1"/>
    <col min="1031" max="1031" width="11.42578125" style="3"/>
    <col min="1032" max="1032" width="16.28515625" style="3" bestFit="1" customWidth="1"/>
    <col min="1033" max="1033" width="21.7109375" style="3" bestFit="1" customWidth="1"/>
    <col min="1034" max="1278" width="11.42578125" style="3"/>
    <col min="1279" max="1280" width="4.28515625" style="3" customWidth="1"/>
    <col min="1281" max="1281" width="5.5703125" style="3" customWidth="1"/>
    <col min="1282" max="1282" width="5.28515625" style="3" customWidth="1"/>
    <col min="1283" max="1283" width="44.7109375" style="3" customWidth="1"/>
    <col min="1284" max="1284" width="15.85546875" style="3" bestFit="1" customWidth="1"/>
    <col min="1285" max="1285" width="17.28515625" style="3" customWidth="1"/>
    <col min="1286" max="1286" width="16.7109375" style="3" customWidth="1"/>
    <col min="1287" max="1287" width="11.42578125" style="3"/>
    <col min="1288" max="1288" width="16.28515625" style="3" bestFit="1" customWidth="1"/>
    <col min="1289" max="1289" width="21.7109375" style="3" bestFit="1" customWidth="1"/>
    <col min="1290" max="1534" width="11.42578125" style="3"/>
    <col min="1535" max="1536" width="4.28515625" style="3" customWidth="1"/>
    <col min="1537" max="1537" width="5.5703125" style="3" customWidth="1"/>
    <col min="1538" max="1538" width="5.28515625" style="3" customWidth="1"/>
    <col min="1539" max="1539" width="44.7109375" style="3" customWidth="1"/>
    <col min="1540" max="1540" width="15.85546875" style="3" bestFit="1" customWidth="1"/>
    <col min="1541" max="1541" width="17.28515625" style="3" customWidth="1"/>
    <col min="1542" max="1542" width="16.7109375" style="3" customWidth="1"/>
    <col min="1543" max="1543" width="11.42578125" style="3"/>
    <col min="1544" max="1544" width="16.28515625" style="3" bestFit="1" customWidth="1"/>
    <col min="1545" max="1545" width="21.7109375" style="3" bestFit="1" customWidth="1"/>
    <col min="1546" max="1790" width="11.42578125" style="3"/>
    <col min="1791" max="1792" width="4.28515625" style="3" customWidth="1"/>
    <col min="1793" max="1793" width="5.5703125" style="3" customWidth="1"/>
    <col min="1794" max="1794" width="5.28515625" style="3" customWidth="1"/>
    <col min="1795" max="1795" width="44.7109375" style="3" customWidth="1"/>
    <col min="1796" max="1796" width="15.85546875" style="3" bestFit="1" customWidth="1"/>
    <col min="1797" max="1797" width="17.28515625" style="3" customWidth="1"/>
    <col min="1798" max="1798" width="16.7109375" style="3" customWidth="1"/>
    <col min="1799" max="1799" width="11.42578125" style="3"/>
    <col min="1800" max="1800" width="16.28515625" style="3" bestFit="1" customWidth="1"/>
    <col min="1801" max="1801" width="21.7109375" style="3" bestFit="1" customWidth="1"/>
    <col min="1802" max="2046" width="11.42578125" style="3"/>
    <col min="2047" max="2048" width="4.28515625" style="3" customWidth="1"/>
    <col min="2049" max="2049" width="5.5703125" style="3" customWidth="1"/>
    <col min="2050" max="2050" width="5.28515625" style="3" customWidth="1"/>
    <col min="2051" max="2051" width="44.7109375" style="3" customWidth="1"/>
    <col min="2052" max="2052" width="15.85546875" style="3" bestFit="1" customWidth="1"/>
    <col min="2053" max="2053" width="17.28515625" style="3" customWidth="1"/>
    <col min="2054" max="2054" width="16.7109375" style="3" customWidth="1"/>
    <col min="2055" max="2055" width="11.42578125" style="3"/>
    <col min="2056" max="2056" width="16.28515625" style="3" bestFit="1" customWidth="1"/>
    <col min="2057" max="2057" width="21.7109375" style="3" bestFit="1" customWidth="1"/>
    <col min="2058" max="2302" width="11.42578125" style="3"/>
    <col min="2303" max="2304" width="4.28515625" style="3" customWidth="1"/>
    <col min="2305" max="2305" width="5.5703125" style="3" customWidth="1"/>
    <col min="2306" max="2306" width="5.28515625" style="3" customWidth="1"/>
    <col min="2307" max="2307" width="44.7109375" style="3" customWidth="1"/>
    <col min="2308" max="2308" width="15.85546875" style="3" bestFit="1" customWidth="1"/>
    <col min="2309" max="2309" width="17.28515625" style="3" customWidth="1"/>
    <col min="2310" max="2310" width="16.7109375" style="3" customWidth="1"/>
    <col min="2311" max="2311" width="11.42578125" style="3"/>
    <col min="2312" max="2312" width="16.28515625" style="3" bestFit="1" customWidth="1"/>
    <col min="2313" max="2313" width="21.7109375" style="3" bestFit="1" customWidth="1"/>
    <col min="2314" max="2558" width="11.42578125" style="3"/>
    <col min="2559" max="2560" width="4.28515625" style="3" customWidth="1"/>
    <col min="2561" max="2561" width="5.5703125" style="3" customWidth="1"/>
    <col min="2562" max="2562" width="5.28515625" style="3" customWidth="1"/>
    <col min="2563" max="2563" width="44.7109375" style="3" customWidth="1"/>
    <col min="2564" max="2564" width="15.85546875" style="3" bestFit="1" customWidth="1"/>
    <col min="2565" max="2565" width="17.28515625" style="3" customWidth="1"/>
    <col min="2566" max="2566" width="16.7109375" style="3" customWidth="1"/>
    <col min="2567" max="2567" width="11.42578125" style="3"/>
    <col min="2568" max="2568" width="16.28515625" style="3" bestFit="1" customWidth="1"/>
    <col min="2569" max="2569" width="21.7109375" style="3" bestFit="1" customWidth="1"/>
    <col min="2570" max="2814" width="11.42578125" style="3"/>
    <col min="2815" max="2816" width="4.28515625" style="3" customWidth="1"/>
    <col min="2817" max="2817" width="5.5703125" style="3" customWidth="1"/>
    <col min="2818" max="2818" width="5.28515625" style="3" customWidth="1"/>
    <col min="2819" max="2819" width="44.7109375" style="3" customWidth="1"/>
    <col min="2820" max="2820" width="15.85546875" style="3" bestFit="1" customWidth="1"/>
    <col min="2821" max="2821" width="17.28515625" style="3" customWidth="1"/>
    <col min="2822" max="2822" width="16.7109375" style="3" customWidth="1"/>
    <col min="2823" max="2823" width="11.42578125" style="3"/>
    <col min="2824" max="2824" width="16.28515625" style="3" bestFit="1" customWidth="1"/>
    <col min="2825" max="2825" width="21.7109375" style="3" bestFit="1" customWidth="1"/>
    <col min="2826" max="3070" width="11.42578125" style="3"/>
    <col min="3071" max="3072" width="4.28515625" style="3" customWidth="1"/>
    <col min="3073" max="3073" width="5.5703125" style="3" customWidth="1"/>
    <col min="3074" max="3074" width="5.28515625" style="3" customWidth="1"/>
    <col min="3075" max="3075" width="44.7109375" style="3" customWidth="1"/>
    <col min="3076" max="3076" width="15.85546875" style="3" bestFit="1" customWidth="1"/>
    <col min="3077" max="3077" width="17.28515625" style="3" customWidth="1"/>
    <col min="3078" max="3078" width="16.7109375" style="3" customWidth="1"/>
    <col min="3079" max="3079" width="11.42578125" style="3"/>
    <col min="3080" max="3080" width="16.28515625" style="3" bestFit="1" customWidth="1"/>
    <col min="3081" max="3081" width="21.7109375" style="3" bestFit="1" customWidth="1"/>
    <col min="3082" max="3326" width="11.42578125" style="3"/>
    <col min="3327" max="3328" width="4.28515625" style="3" customWidth="1"/>
    <col min="3329" max="3329" width="5.5703125" style="3" customWidth="1"/>
    <col min="3330" max="3330" width="5.28515625" style="3" customWidth="1"/>
    <col min="3331" max="3331" width="44.7109375" style="3" customWidth="1"/>
    <col min="3332" max="3332" width="15.85546875" style="3" bestFit="1" customWidth="1"/>
    <col min="3333" max="3333" width="17.28515625" style="3" customWidth="1"/>
    <col min="3334" max="3334" width="16.7109375" style="3" customWidth="1"/>
    <col min="3335" max="3335" width="11.42578125" style="3"/>
    <col min="3336" max="3336" width="16.28515625" style="3" bestFit="1" customWidth="1"/>
    <col min="3337" max="3337" width="21.7109375" style="3" bestFit="1" customWidth="1"/>
    <col min="3338" max="3582" width="11.42578125" style="3"/>
    <col min="3583" max="3584" width="4.28515625" style="3" customWidth="1"/>
    <col min="3585" max="3585" width="5.5703125" style="3" customWidth="1"/>
    <col min="3586" max="3586" width="5.28515625" style="3" customWidth="1"/>
    <col min="3587" max="3587" width="44.7109375" style="3" customWidth="1"/>
    <col min="3588" max="3588" width="15.85546875" style="3" bestFit="1" customWidth="1"/>
    <col min="3589" max="3589" width="17.28515625" style="3" customWidth="1"/>
    <col min="3590" max="3590" width="16.7109375" style="3" customWidth="1"/>
    <col min="3591" max="3591" width="11.42578125" style="3"/>
    <col min="3592" max="3592" width="16.28515625" style="3" bestFit="1" customWidth="1"/>
    <col min="3593" max="3593" width="21.7109375" style="3" bestFit="1" customWidth="1"/>
    <col min="3594" max="3838" width="11.42578125" style="3"/>
    <col min="3839" max="3840" width="4.28515625" style="3" customWidth="1"/>
    <col min="3841" max="3841" width="5.5703125" style="3" customWidth="1"/>
    <col min="3842" max="3842" width="5.28515625" style="3" customWidth="1"/>
    <col min="3843" max="3843" width="44.7109375" style="3" customWidth="1"/>
    <col min="3844" max="3844" width="15.85546875" style="3" bestFit="1" customWidth="1"/>
    <col min="3845" max="3845" width="17.28515625" style="3" customWidth="1"/>
    <col min="3846" max="3846" width="16.7109375" style="3" customWidth="1"/>
    <col min="3847" max="3847" width="11.42578125" style="3"/>
    <col min="3848" max="3848" width="16.28515625" style="3" bestFit="1" customWidth="1"/>
    <col min="3849" max="3849" width="21.7109375" style="3" bestFit="1" customWidth="1"/>
    <col min="3850" max="4094" width="11.42578125" style="3"/>
    <col min="4095" max="4096" width="4.28515625" style="3" customWidth="1"/>
    <col min="4097" max="4097" width="5.5703125" style="3" customWidth="1"/>
    <col min="4098" max="4098" width="5.28515625" style="3" customWidth="1"/>
    <col min="4099" max="4099" width="44.7109375" style="3" customWidth="1"/>
    <col min="4100" max="4100" width="15.85546875" style="3" bestFit="1" customWidth="1"/>
    <col min="4101" max="4101" width="17.28515625" style="3" customWidth="1"/>
    <col min="4102" max="4102" width="16.7109375" style="3" customWidth="1"/>
    <col min="4103" max="4103" width="11.42578125" style="3"/>
    <col min="4104" max="4104" width="16.28515625" style="3" bestFit="1" customWidth="1"/>
    <col min="4105" max="4105" width="21.7109375" style="3" bestFit="1" customWidth="1"/>
    <col min="4106" max="4350" width="11.42578125" style="3"/>
    <col min="4351" max="4352" width="4.28515625" style="3" customWidth="1"/>
    <col min="4353" max="4353" width="5.5703125" style="3" customWidth="1"/>
    <col min="4354" max="4354" width="5.28515625" style="3" customWidth="1"/>
    <col min="4355" max="4355" width="44.7109375" style="3" customWidth="1"/>
    <col min="4356" max="4356" width="15.85546875" style="3" bestFit="1" customWidth="1"/>
    <col min="4357" max="4357" width="17.28515625" style="3" customWidth="1"/>
    <col min="4358" max="4358" width="16.7109375" style="3" customWidth="1"/>
    <col min="4359" max="4359" width="11.42578125" style="3"/>
    <col min="4360" max="4360" width="16.28515625" style="3" bestFit="1" customWidth="1"/>
    <col min="4361" max="4361" width="21.7109375" style="3" bestFit="1" customWidth="1"/>
    <col min="4362" max="4606" width="11.42578125" style="3"/>
    <col min="4607" max="4608" width="4.28515625" style="3" customWidth="1"/>
    <col min="4609" max="4609" width="5.5703125" style="3" customWidth="1"/>
    <col min="4610" max="4610" width="5.28515625" style="3" customWidth="1"/>
    <col min="4611" max="4611" width="44.7109375" style="3" customWidth="1"/>
    <col min="4612" max="4612" width="15.85546875" style="3" bestFit="1" customWidth="1"/>
    <col min="4613" max="4613" width="17.28515625" style="3" customWidth="1"/>
    <col min="4614" max="4614" width="16.7109375" style="3" customWidth="1"/>
    <col min="4615" max="4615" width="11.42578125" style="3"/>
    <col min="4616" max="4616" width="16.28515625" style="3" bestFit="1" customWidth="1"/>
    <col min="4617" max="4617" width="21.7109375" style="3" bestFit="1" customWidth="1"/>
    <col min="4618" max="4862" width="11.42578125" style="3"/>
    <col min="4863" max="4864" width="4.28515625" style="3" customWidth="1"/>
    <col min="4865" max="4865" width="5.5703125" style="3" customWidth="1"/>
    <col min="4866" max="4866" width="5.28515625" style="3" customWidth="1"/>
    <col min="4867" max="4867" width="44.7109375" style="3" customWidth="1"/>
    <col min="4868" max="4868" width="15.85546875" style="3" bestFit="1" customWidth="1"/>
    <col min="4869" max="4869" width="17.28515625" style="3" customWidth="1"/>
    <col min="4870" max="4870" width="16.7109375" style="3" customWidth="1"/>
    <col min="4871" max="4871" width="11.42578125" style="3"/>
    <col min="4872" max="4872" width="16.28515625" style="3" bestFit="1" customWidth="1"/>
    <col min="4873" max="4873" width="21.7109375" style="3" bestFit="1" customWidth="1"/>
    <col min="4874" max="5118" width="11.42578125" style="3"/>
    <col min="5119" max="5120" width="4.28515625" style="3" customWidth="1"/>
    <col min="5121" max="5121" width="5.5703125" style="3" customWidth="1"/>
    <col min="5122" max="5122" width="5.28515625" style="3" customWidth="1"/>
    <col min="5123" max="5123" width="44.7109375" style="3" customWidth="1"/>
    <col min="5124" max="5124" width="15.85546875" style="3" bestFit="1" customWidth="1"/>
    <col min="5125" max="5125" width="17.28515625" style="3" customWidth="1"/>
    <col min="5126" max="5126" width="16.7109375" style="3" customWidth="1"/>
    <col min="5127" max="5127" width="11.42578125" style="3"/>
    <col min="5128" max="5128" width="16.28515625" style="3" bestFit="1" customWidth="1"/>
    <col min="5129" max="5129" width="21.7109375" style="3" bestFit="1" customWidth="1"/>
    <col min="5130" max="5374" width="11.42578125" style="3"/>
    <col min="5375" max="5376" width="4.28515625" style="3" customWidth="1"/>
    <col min="5377" max="5377" width="5.5703125" style="3" customWidth="1"/>
    <col min="5378" max="5378" width="5.28515625" style="3" customWidth="1"/>
    <col min="5379" max="5379" width="44.7109375" style="3" customWidth="1"/>
    <col min="5380" max="5380" width="15.85546875" style="3" bestFit="1" customWidth="1"/>
    <col min="5381" max="5381" width="17.28515625" style="3" customWidth="1"/>
    <col min="5382" max="5382" width="16.7109375" style="3" customWidth="1"/>
    <col min="5383" max="5383" width="11.42578125" style="3"/>
    <col min="5384" max="5384" width="16.28515625" style="3" bestFit="1" customWidth="1"/>
    <col min="5385" max="5385" width="21.7109375" style="3" bestFit="1" customWidth="1"/>
    <col min="5386" max="5630" width="11.42578125" style="3"/>
    <col min="5631" max="5632" width="4.28515625" style="3" customWidth="1"/>
    <col min="5633" max="5633" width="5.5703125" style="3" customWidth="1"/>
    <col min="5634" max="5634" width="5.28515625" style="3" customWidth="1"/>
    <col min="5635" max="5635" width="44.7109375" style="3" customWidth="1"/>
    <col min="5636" max="5636" width="15.85546875" style="3" bestFit="1" customWidth="1"/>
    <col min="5637" max="5637" width="17.28515625" style="3" customWidth="1"/>
    <col min="5638" max="5638" width="16.7109375" style="3" customWidth="1"/>
    <col min="5639" max="5639" width="11.42578125" style="3"/>
    <col min="5640" max="5640" width="16.28515625" style="3" bestFit="1" customWidth="1"/>
    <col min="5641" max="5641" width="21.7109375" style="3" bestFit="1" customWidth="1"/>
    <col min="5642" max="5886" width="11.42578125" style="3"/>
    <col min="5887" max="5888" width="4.28515625" style="3" customWidth="1"/>
    <col min="5889" max="5889" width="5.5703125" style="3" customWidth="1"/>
    <col min="5890" max="5890" width="5.28515625" style="3" customWidth="1"/>
    <col min="5891" max="5891" width="44.7109375" style="3" customWidth="1"/>
    <col min="5892" max="5892" width="15.85546875" style="3" bestFit="1" customWidth="1"/>
    <col min="5893" max="5893" width="17.28515625" style="3" customWidth="1"/>
    <col min="5894" max="5894" width="16.7109375" style="3" customWidth="1"/>
    <col min="5895" max="5895" width="11.42578125" style="3"/>
    <col min="5896" max="5896" width="16.28515625" style="3" bestFit="1" customWidth="1"/>
    <col min="5897" max="5897" width="21.7109375" style="3" bestFit="1" customWidth="1"/>
    <col min="5898" max="6142" width="11.42578125" style="3"/>
    <col min="6143" max="6144" width="4.28515625" style="3" customWidth="1"/>
    <col min="6145" max="6145" width="5.5703125" style="3" customWidth="1"/>
    <col min="6146" max="6146" width="5.28515625" style="3" customWidth="1"/>
    <col min="6147" max="6147" width="44.7109375" style="3" customWidth="1"/>
    <col min="6148" max="6148" width="15.85546875" style="3" bestFit="1" customWidth="1"/>
    <col min="6149" max="6149" width="17.28515625" style="3" customWidth="1"/>
    <col min="6150" max="6150" width="16.7109375" style="3" customWidth="1"/>
    <col min="6151" max="6151" width="11.42578125" style="3"/>
    <col min="6152" max="6152" width="16.28515625" style="3" bestFit="1" customWidth="1"/>
    <col min="6153" max="6153" width="21.7109375" style="3" bestFit="1" customWidth="1"/>
    <col min="6154" max="6398" width="11.42578125" style="3"/>
    <col min="6399" max="6400" width="4.28515625" style="3" customWidth="1"/>
    <col min="6401" max="6401" width="5.5703125" style="3" customWidth="1"/>
    <col min="6402" max="6402" width="5.28515625" style="3" customWidth="1"/>
    <col min="6403" max="6403" width="44.7109375" style="3" customWidth="1"/>
    <col min="6404" max="6404" width="15.85546875" style="3" bestFit="1" customWidth="1"/>
    <col min="6405" max="6405" width="17.28515625" style="3" customWidth="1"/>
    <col min="6406" max="6406" width="16.7109375" style="3" customWidth="1"/>
    <col min="6407" max="6407" width="11.42578125" style="3"/>
    <col min="6408" max="6408" width="16.28515625" style="3" bestFit="1" customWidth="1"/>
    <col min="6409" max="6409" width="21.7109375" style="3" bestFit="1" customWidth="1"/>
    <col min="6410" max="6654" width="11.42578125" style="3"/>
    <col min="6655" max="6656" width="4.28515625" style="3" customWidth="1"/>
    <col min="6657" max="6657" width="5.5703125" style="3" customWidth="1"/>
    <col min="6658" max="6658" width="5.28515625" style="3" customWidth="1"/>
    <col min="6659" max="6659" width="44.7109375" style="3" customWidth="1"/>
    <col min="6660" max="6660" width="15.85546875" style="3" bestFit="1" customWidth="1"/>
    <col min="6661" max="6661" width="17.28515625" style="3" customWidth="1"/>
    <col min="6662" max="6662" width="16.7109375" style="3" customWidth="1"/>
    <col min="6663" max="6663" width="11.42578125" style="3"/>
    <col min="6664" max="6664" width="16.28515625" style="3" bestFit="1" customWidth="1"/>
    <col min="6665" max="6665" width="21.7109375" style="3" bestFit="1" customWidth="1"/>
    <col min="6666" max="6910" width="11.42578125" style="3"/>
    <col min="6911" max="6912" width="4.28515625" style="3" customWidth="1"/>
    <col min="6913" max="6913" width="5.5703125" style="3" customWidth="1"/>
    <col min="6914" max="6914" width="5.28515625" style="3" customWidth="1"/>
    <col min="6915" max="6915" width="44.7109375" style="3" customWidth="1"/>
    <col min="6916" max="6916" width="15.85546875" style="3" bestFit="1" customWidth="1"/>
    <col min="6917" max="6917" width="17.28515625" style="3" customWidth="1"/>
    <col min="6918" max="6918" width="16.7109375" style="3" customWidth="1"/>
    <col min="6919" max="6919" width="11.42578125" style="3"/>
    <col min="6920" max="6920" width="16.28515625" style="3" bestFit="1" customWidth="1"/>
    <col min="6921" max="6921" width="21.7109375" style="3" bestFit="1" customWidth="1"/>
    <col min="6922" max="7166" width="11.42578125" style="3"/>
    <col min="7167" max="7168" width="4.28515625" style="3" customWidth="1"/>
    <col min="7169" max="7169" width="5.5703125" style="3" customWidth="1"/>
    <col min="7170" max="7170" width="5.28515625" style="3" customWidth="1"/>
    <col min="7171" max="7171" width="44.7109375" style="3" customWidth="1"/>
    <col min="7172" max="7172" width="15.85546875" style="3" bestFit="1" customWidth="1"/>
    <col min="7173" max="7173" width="17.28515625" style="3" customWidth="1"/>
    <col min="7174" max="7174" width="16.7109375" style="3" customWidth="1"/>
    <col min="7175" max="7175" width="11.42578125" style="3"/>
    <col min="7176" max="7176" width="16.28515625" style="3" bestFit="1" customWidth="1"/>
    <col min="7177" max="7177" width="21.7109375" style="3" bestFit="1" customWidth="1"/>
    <col min="7178" max="7422" width="11.42578125" style="3"/>
    <col min="7423" max="7424" width="4.28515625" style="3" customWidth="1"/>
    <col min="7425" max="7425" width="5.5703125" style="3" customWidth="1"/>
    <col min="7426" max="7426" width="5.28515625" style="3" customWidth="1"/>
    <col min="7427" max="7427" width="44.7109375" style="3" customWidth="1"/>
    <col min="7428" max="7428" width="15.85546875" style="3" bestFit="1" customWidth="1"/>
    <col min="7429" max="7429" width="17.28515625" style="3" customWidth="1"/>
    <col min="7430" max="7430" width="16.7109375" style="3" customWidth="1"/>
    <col min="7431" max="7431" width="11.42578125" style="3"/>
    <col min="7432" max="7432" width="16.28515625" style="3" bestFit="1" customWidth="1"/>
    <col min="7433" max="7433" width="21.7109375" style="3" bestFit="1" customWidth="1"/>
    <col min="7434" max="7678" width="11.42578125" style="3"/>
    <col min="7679" max="7680" width="4.28515625" style="3" customWidth="1"/>
    <col min="7681" max="7681" width="5.5703125" style="3" customWidth="1"/>
    <col min="7682" max="7682" width="5.28515625" style="3" customWidth="1"/>
    <col min="7683" max="7683" width="44.7109375" style="3" customWidth="1"/>
    <col min="7684" max="7684" width="15.85546875" style="3" bestFit="1" customWidth="1"/>
    <col min="7685" max="7685" width="17.28515625" style="3" customWidth="1"/>
    <col min="7686" max="7686" width="16.7109375" style="3" customWidth="1"/>
    <col min="7687" max="7687" width="11.42578125" style="3"/>
    <col min="7688" max="7688" width="16.28515625" style="3" bestFit="1" customWidth="1"/>
    <col min="7689" max="7689" width="21.7109375" style="3" bestFit="1" customWidth="1"/>
    <col min="7690" max="7934" width="11.42578125" style="3"/>
    <col min="7935" max="7936" width="4.28515625" style="3" customWidth="1"/>
    <col min="7937" max="7937" width="5.5703125" style="3" customWidth="1"/>
    <col min="7938" max="7938" width="5.28515625" style="3" customWidth="1"/>
    <col min="7939" max="7939" width="44.7109375" style="3" customWidth="1"/>
    <col min="7940" max="7940" width="15.85546875" style="3" bestFit="1" customWidth="1"/>
    <col min="7941" max="7941" width="17.28515625" style="3" customWidth="1"/>
    <col min="7942" max="7942" width="16.7109375" style="3" customWidth="1"/>
    <col min="7943" max="7943" width="11.42578125" style="3"/>
    <col min="7944" max="7944" width="16.28515625" style="3" bestFit="1" customWidth="1"/>
    <col min="7945" max="7945" width="21.7109375" style="3" bestFit="1" customWidth="1"/>
    <col min="7946" max="8190" width="11.42578125" style="3"/>
    <col min="8191" max="8192" width="4.28515625" style="3" customWidth="1"/>
    <col min="8193" max="8193" width="5.5703125" style="3" customWidth="1"/>
    <col min="8194" max="8194" width="5.28515625" style="3" customWidth="1"/>
    <col min="8195" max="8195" width="44.7109375" style="3" customWidth="1"/>
    <col min="8196" max="8196" width="15.85546875" style="3" bestFit="1" customWidth="1"/>
    <col min="8197" max="8197" width="17.28515625" style="3" customWidth="1"/>
    <col min="8198" max="8198" width="16.7109375" style="3" customWidth="1"/>
    <col min="8199" max="8199" width="11.42578125" style="3"/>
    <col min="8200" max="8200" width="16.28515625" style="3" bestFit="1" customWidth="1"/>
    <col min="8201" max="8201" width="21.7109375" style="3" bestFit="1" customWidth="1"/>
    <col min="8202" max="8446" width="11.42578125" style="3"/>
    <col min="8447" max="8448" width="4.28515625" style="3" customWidth="1"/>
    <col min="8449" max="8449" width="5.5703125" style="3" customWidth="1"/>
    <col min="8450" max="8450" width="5.28515625" style="3" customWidth="1"/>
    <col min="8451" max="8451" width="44.7109375" style="3" customWidth="1"/>
    <col min="8452" max="8452" width="15.85546875" style="3" bestFit="1" customWidth="1"/>
    <col min="8453" max="8453" width="17.28515625" style="3" customWidth="1"/>
    <col min="8454" max="8454" width="16.7109375" style="3" customWidth="1"/>
    <col min="8455" max="8455" width="11.42578125" style="3"/>
    <col min="8456" max="8456" width="16.28515625" style="3" bestFit="1" customWidth="1"/>
    <col min="8457" max="8457" width="21.7109375" style="3" bestFit="1" customWidth="1"/>
    <col min="8458" max="8702" width="11.42578125" style="3"/>
    <col min="8703" max="8704" width="4.28515625" style="3" customWidth="1"/>
    <col min="8705" max="8705" width="5.5703125" style="3" customWidth="1"/>
    <col min="8706" max="8706" width="5.28515625" style="3" customWidth="1"/>
    <col min="8707" max="8707" width="44.7109375" style="3" customWidth="1"/>
    <col min="8708" max="8708" width="15.85546875" style="3" bestFit="1" customWidth="1"/>
    <col min="8709" max="8709" width="17.28515625" style="3" customWidth="1"/>
    <col min="8710" max="8710" width="16.7109375" style="3" customWidth="1"/>
    <col min="8711" max="8711" width="11.42578125" style="3"/>
    <col min="8712" max="8712" width="16.28515625" style="3" bestFit="1" customWidth="1"/>
    <col min="8713" max="8713" width="21.7109375" style="3" bestFit="1" customWidth="1"/>
    <col min="8714" max="8958" width="11.42578125" style="3"/>
    <col min="8959" max="8960" width="4.28515625" style="3" customWidth="1"/>
    <col min="8961" max="8961" width="5.5703125" style="3" customWidth="1"/>
    <col min="8962" max="8962" width="5.28515625" style="3" customWidth="1"/>
    <col min="8963" max="8963" width="44.7109375" style="3" customWidth="1"/>
    <col min="8964" max="8964" width="15.85546875" style="3" bestFit="1" customWidth="1"/>
    <col min="8965" max="8965" width="17.28515625" style="3" customWidth="1"/>
    <col min="8966" max="8966" width="16.7109375" style="3" customWidth="1"/>
    <col min="8967" max="8967" width="11.42578125" style="3"/>
    <col min="8968" max="8968" width="16.28515625" style="3" bestFit="1" customWidth="1"/>
    <col min="8969" max="8969" width="21.7109375" style="3" bestFit="1" customWidth="1"/>
    <col min="8970" max="9214" width="11.42578125" style="3"/>
    <col min="9215" max="9216" width="4.28515625" style="3" customWidth="1"/>
    <col min="9217" max="9217" width="5.5703125" style="3" customWidth="1"/>
    <col min="9218" max="9218" width="5.28515625" style="3" customWidth="1"/>
    <col min="9219" max="9219" width="44.7109375" style="3" customWidth="1"/>
    <col min="9220" max="9220" width="15.85546875" style="3" bestFit="1" customWidth="1"/>
    <col min="9221" max="9221" width="17.28515625" style="3" customWidth="1"/>
    <col min="9222" max="9222" width="16.7109375" style="3" customWidth="1"/>
    <col min="9223" max="9223" width="11.42578125" style="3"/>
    <col min="9224" max="9224" width="16.28515625" style="3" bestFit="1" customWidth="1"/>
    <col min="9225" max="9225" width="21.7109375" style="3" bestFit="1" customWidth="1"/>
    <col min="9226" max="9470" width="11.42578125" style="3"/>
    <col min="9471" max="9472" width="4.28515625" style="3" customWidth="1"/>
    <col min="9473" max="9473" width="5.5703125" style="3" customWidth="1"/>
    <col min="9474" max="9474" width="5.28515625" style="3" customWidth="1"/>
    <col min="9475" max="9475" width="44.7109375" style="3" customWidth="1"/>
    <col min="9476" max="9476" width="15.85546875" style="3" bestFit="1" customWidth="1"/>
    <col min="9477" max="9477" width="17.28515625" style="3" customWidth="1"/>
    <col min="9478" max="9478" width="16.7109375" style="3" customWidth="1"/>
    <col min="9479" max="9479" width="11.42578125" style="3"/>
    <col min="9480" max="9480" width="16.28515625" style="3" bestFit="1" customWidth="1"/>
    <col min="9481" max="9481" width="21.7109375" style="3" bestFit="1" customWidth="1"/>
    <col min="9482" max="9726" width="11.42578125" style="3"/>
    <col min="9727" max="9728" width="4.28515625" style="3" customWidth="1"/>
    <col min="9729" max="9729" width="5.5703125" style="3" customWidth="1"/>
    <col min="9730" max="9730" width="5.28515625" style="3" customWidth="1"/>
    <col min="9731" max="9731" width="44.7109375" style="3" customWidth="1"/>
    <col min="9732" max="9732" width="15.85546875" style="3" bestFit="1" customWidth="1"/>
    <col min="9733" max="9733" width="17.28515625" style="3" customWidth="1"/>
    <col min="9734" max="9734" width="16.7109375" style="3" customWidth="1"/>
    <col min="9735" max="9735" width="11.42578125" style="3"/>
    <col min="9736" max="9736" width="16.28515625" style="3" bestFit="1" customWidth="1"/>
    <col min="9737" max="9737" width="21.7109375" style="3" bestFit="1" customWidth="1"/>
    <col min="9738" max="9982" width="11.42578125" style="3"/>
    <col min="9983" max="9984" width="4.28515625" style="3" customWidth="1"/>
    <col min="9985" max="9985" width="5.5703125" style="3" customWidth="1"/>
    <col min="9986" max="9986" width="5.28515625" style="3" customWidth="1"/>
    <col min="9987" max="9987" width="44.7109375" style="3" customWidth="1"/>
    <col min="9988" max="9988" width="15.85546875" style="3" bestFit="1" customWidth="1"/>
    <col min="9989" max="9989" width="17.28515625" style="3" customWidth="1"/>
    <col min="9990" max="9990" width="16.7109375" style="3" customWidth="1"/>
    <col min="9991" max="9991" width="11.42578125" style="3"/>
    <col min="9992" max="9992" width="16.28515625" style="3" bestFit="1" customWidth="1"/>
    <col min="9993" max="9993" width="21.7109375" style="3" bestFit="1" customWidth="1"/>
    <col min="9994" max="10238" width="11.42578125" style="3"/>
    <col min="10239" max="10240" width="4.28515625" style="3" customWidth="1"/>
    <col min="10241" max="10241" width="5.5703125" style="3" customWidth="1"/>
    <col min="10242" max="10242" width="5.28515625" style="3" customWidth="1"/>
    <col min="10243" max="10243" width="44.7109375" style="3" customWidth="1"/>
    <col min="10244" max="10244" width="15.85546875" style="3" bestFit="1" customWidth="1"/>
    <col min="10245" max="10245" width="17.28515625" style="3" customWidth="1"/>
    <col min="10246" max="10246" width="16.7109375" style="3" customWidth="1"/>
    <col min="10247" max="10247" width="11.42578125" style="3"/>
    <col min="10248" max="10248" width="16.28515625" style="3" bestFit="1" customWidth="1"/>
    <col min="10249" max="10249" width="21.7109375" style="3" bestFit="1" customWidth="1"/>
    <col min="10250" max="10494" width="11.42578125" style="3"/>
    <col min="10495" max="10496" width="4.28515625" style="3" customWidth="1"/>
    <col min="10497" max="10497" width="5.5703125" style="3" customWidth="1"/>
    <col min="10498" max="10498" width="5.28515625" style="3" customWidth="1"/>
    <col min="10499" max="10499" width="44.7109375" style="3" customWidth="1"/>
    <col min="10500" max="10500" width="15.85546875" style="3" bestFit="1" customWidth="1"/>
    <col min="10501" max="10501" width="17.28515625" style="3" customWidth="1"/>
    <col min="10502" max="10502" width="16.7109375" style="3" customWidth="1"/>
    <col min="10503" max="10503" width="11.42578125" style="3"/>
    <col min="10504" max="10504" width="16.28515625" style="3" bestFit="1" customWidth="1"/>
    <col min="10505" max="10505" width="21.7109375" style="3" bestFit="1" customWidth="1"/>
    <col min="10506" max="10750" width="11.42578125" style="3"/>
    <col min="10751" max="10752" width="4.28515625" style="3" customWidth="1"/>
    <col min="10753" max="10753" width="5.5703125" style="3" customWidth="1"/>
    <col min="10754" max="10754" width="5.28515625" style="3" customWidth="1"/>
    <col min="10755" max="10755" width="44.7109375" style="3" customWidth="1"/>
    <col min="10756" max="10756" width="15.85546875" style="3" bestFit="1" customWidth="1"/>
    <col min="10757" max="10757" width="17.28515625" style="3" customWidth="1"/>
    <col min="10758" max="10758" width="16.7109375" style="3" customWidth="1"/>
    <col min="10759" max="10759" width="11.42578125" style="3"/>
    <col min="10760" max="10760" width="16.28515625" style="3" bestFit="1" customWidth="1"/>
    <col min="10761" max="10761" width="21.7109375" style="3" bestFit="1" customWidth="1"/>
    <col min="10762" max="11006" width="11.42578125" style="3"/>
    <col min="11007" max="11008" width="4.28515625" style="3" customWidth="1"/>
    <col min="11009" max="11009" width="5.5703125" style="3" customWidth="1"/>
    <col min="11010" max="11010" width="5.28515625" style="3" customWidth="1"/>
    <col min="11011" max="11011" width="44.7109375" style="3" customWidth="1"/>
    <col min="11012" max="11012" width="15.85546875" style="3" bestFit="1" customWidth="1"/>
    <col min="11013" max="11013" width="17.28515625" style="3" customWidth="1"/>
    <col min="11014" max="11014" width="16.7109375" style="3" customWidth="1"/>
    <col min="11015" max="11015" width="11.42578125" style="3"/>
    <col min="11016" max="11016" width="16.28515625" style="3" bestFit="1" customWidth="1"/>
    <col min="11017" max="11017" width="21.7109375" style="3" bestFit="1" customWidth="1"/>
    <col min="11018" max="11262" width="11.42578125" style="3"/>
    <col min="11263" max="11264" width="4.28515625" style="3" customWidth="1"/>
    <col min="11265" max="11265" width="5.5703125" style="3" customWidth="1"/>
    <col min="11266" max="11266" width="5.28515625" style="3" customWidth="1"/>
    <col min="11267" max="11267" width="44.7109375" style="3" customWidth="1"/>
    <col min="11268" max="11268" width="15.85546875" style="3" bestFit="1" customWidth="1"/>
    <col min="11269" max="11269" width="17.28515625" style="3" customWidth="1"/>
    <col min="11270" max="11270" width="16.7109375" style="3" customWidth="1"/>
    <col min="11271" max="11271" width="11.42578125" style="3"/>
    <col min="11272" max="11272" width="16.28515625" style="3" bestFit="1" customWidth="1"/>
    <col min="11273" max="11273" width="21.7109375" style="3" bestFit="1" customWidth="1"/>
    <col min="11274" max="11518" width="11.42578125" style="3"/>
    <col min="11519" max="11520" width="4.28515625" style="3" customWidth="1"/>
    <col min="11521" max="11521" width="5.5703125" style="3" customWidth="1"/>
    <col min="11522" max="11522" width="5.28515625" style="3" customWidth="1"/>
    <col min="11523" max="11523" width="44.7109375" style="3" customWidth="1"/>
    <col min="11524" max="11524" width="15.85546875" style="3" bestFit="1" customWidth="1"/>
    <col min="11525" max="11525" width="17.28515625" style="3" customWidth="1"/>
    <col min="11526" max="11526" width="16.7109375" style="3" customWidth="1"/>
    <col min="11527" max="11527" width="11.42578125" style="3"/>
    <col min="11528" max="11528" width="16.28515625" style="3" bestFit="1" customWidth="1"/>
    <col min="11529" max="11529" width="21.7109375" style="3" bestFit="1" customWidth="1"/>
    <col min="11530" max="11774" width="11.42578125" style="3"/>
    <col min="11775" max="11776" width="4.28515625" style="3" customWidth="1"/>
    <col min="11777" max="11777" width="5.5703125" style="3" customWidth="1"/>
    <col min="11778" max="11778" width="5.28515625" style="3" customWidth="1"/>
    <col min="11779" max="11779" width="44.7109375" style="3" customWidth="1"/>
    <col min="11780" max="11780" width="15.85546875" style="3" bestFit="1" customWidth="1"/>
    <col min="11781" max="11781" width="17.28515625" style="3" customWidth="1"/>
    <col min="11782" max="11782" width="16.7109375" style="3" customWidth="1"/>
    <col min="11783" max="11783" width="11.42578125" style="3"/>
    <col min="11784" max="11784" width="16.28515625" style="3" bestFit="1" customWidth="1"/>
    <col min="11785" max="11785" width="21.7109375" style="3" bestFit="1" customWidth="1"/>
    <col min="11786" max="12030" width="11.42578125" style="3"/>
    <col min="12031" max="12032" width="4.28515625" style="3" customWidth="1"/>
    <col min="12033" max="12033" width="5.5703125" style="3" customWidth="1"/>
    <col min="12034" max="12034" width="5.28515625" style="3" customWidth="1"/>
    <col min="12035" max="12035" width="44.7109375" style="3" customWidth="1"/>
    <col min="12036" max="12036" width="15.85546875" style="3" bestFit="1" customWidth="1"/>
    <col min="12037" max="12037" width="17.28515625" style="3" customWidth="1"/>
    <col min="12038" max="12038" width="16.7109375" style="3" customWidth="1"/>
    <col min="12039" max="12039" width="11.42578125" style="3"/>
    <col min="12040" max="12040" width="16.28515625" style="3" bestFit="1" customWidth="1"/>
    <col min="12041" max="12041" width="21.7109375" style="3" bestFit="1" customWidth="1"/>
    <col min="12042" max="12286" width="11.42578125" style="3"/>
    <col min="12287" max="12288" width="4.28515625" style="3" customWidth="1"/>
    <col min="12289" max="12289" width="5.5703125" style="3" customWidth="1"/>
    <col min="12290" max="12290" width="5.28515625" style="3" customWidth="1"/>
    <col min="12291" max="12291" width="44.7109375" style="3" customWidth="1"/>
    <col min="12292" max="12292" width="15.85546875" style="3" bestFit="1" customWidth="1"/>
    <col min="12293" max="12293" width="17.28515625" style="3" customWidth="1"/>
    <col min="12294" max="12294" width="16.7109375" style="3" customWidth="1"/>
    <col min="12295" max="12295" width="11.42578125" style="3"/>
    <col min="12296" max="12296" width="16.28515625" style="3" bestFit="1" customWidth="1"/>
    <col min="12297" max="12297" width="21.7109375" style="3" bestFit="1" customWidth="1"/>
    <col min="12298" max="12542" width="11.42578125" style="3"/>
    <col min="12543" max="12544" width="4.28515625" style="3" customWidth="1"/>
    <col min="12545" max="12545" width="5.5703125" style="3" customWidth="1"/>
    <col min="12546" max="12546" width="5.28515625" style="3" customWidth="1"/>
    <col min="12547" max="12547" width="44.7109375" style="3" customWidth="1"/>
    <col min="12548" max="12548" width="15.85546875" style="3" bestFit="1" customWidth="1"/>
    <col min="12549" max="12549" width="17.28515625" style="3" customWidth="1"/>
    <col min="12550" max="12550" width="16.7109375" style="3" customWidth="1"/>
    <col min="12551" max="12551" width="11.42578125" style="3"/>
    <col min="12552" max="12552" width="16.28515625" style="3" bestFit="1" customWidth="1"/>
    <col min="12553" max="12553" width="21.7109375" style="3" bestFit="1" customWidth="1"/>
    <col min="12554" max="12798" width="11.42578125" style="3"/>
    <col min="12799" max="12800" width="4.28515625" style="3" customWidth="1"/>
    <col min="12801" max="12801" width="5.5703125" style="3" customWidth="1"/>
    <col min="12802" max="12802" width="5.28515625" style="3" customWidth="1"/>
    <col min="12803" max="12803" width="44.7109375" style="3" customWidth="1"/>
    <col min="12804" max="12804" width="15.85546875" style="3" bestFit="1" customWidth="1"/>
    <col min="12805" max="12805" width="17.28515625" style="3" customWidth="1"/>
    <col min="12806" max="12806" width="16.7109375" style="3" customWidth="1"/>
    <col min="12807" max="12807" width="11.42578125" style="3"/>
    <col min="12808" max="12808" width="16.28515625" style="3" bestFit="1" customWidth="1"/>
    <col min="12809" max="12809" width="21.7109375" style="3" bestFit="1" customWidth="1"/>
    <col min="12810" max="13054" width="11.42578125" style="3"/>
    <col min="13055" max="13056" width="4.28515625" style="3" customWidth="1"/>
    <col min="13057" max="13057" width="5.5703125" style="3" customWidth="1"/>
    <col min="13058" max="13058" width="5.28515625" style="3" customWidth="1"/>
    <col min="13059" max="13059" width="44.7109375" style="3" customWidth="1"/>
    <col min="13060" max="13060" width="15.85546875" style="3" bestFit="1" customWidth="1"/>
    <col min="13061" max="13061" width="17.28515625" style="3" customWidth="1"/>
    <col min="13062" max="13062" width="16.7109375" style="3" customWidth="1"/>
    <col min="13063" max="13063" width="11.42578125" style="3"/>
    <col min="13064" max="13064" width="16.28515625" style="3" bestFit="1" customWidth="1"/>
    <col min="13065" max="13065" width="21.7109375" style="3" bestFit="1" customWidth="1"/>
    <col min="13066" max="13310" width="11.42578125" style="3"/>
    <col min="13311" max="13312" width="4.28515625" style="3" customWidth="1"/>
    <col min="13313" max="13313" width="5.5703125" style="3" customWidth="1"/>
    <col min="13314" max="13314" width="5.28515625" style="3" customWidth="1"/>
    <col min="13315" max="13315" width="44.7109375" style="3" customWidth="1"/>
    <col min="13316" max="13316" width="15.85546875" style="3" bestFit="1" customWidth="1"/>
    <col min="13317" max="13317" width="17.28515625" style="3" customWidth="1"/>
    <col min="13318" max="13318" width="16.7109375" style="3" customWidth="1"/>
    <col min="13319" max="13319" width="11.42578125" style="3"/>
    <col min="13320" max="13320" width="16.28515625" style="3" bestFit="1" customWidth="1"/>
    <col min="13321" max="13321" width="21.7109375" style="3" bestFit="1" customWidth="1"/>
    <col min="13322" max="13566" width="11.42578125" style="3"/>
    <col min="13567" max="13568" width="4.28515625" style="3" customWidth="1"/>
    <col min="13569" max="13569" width="5.5703125" style="3" customWidth="1"/>
    <col min="13570" max="13570" width="5.28515625" style="3" customWidth="1"/>
    <col min="13571" max="13571" width="44.7109375" style="3" customWidth="1"/>
    <col min="13572" max="13572" width="15.85546875" style="3" bestFit="1" customWidth="1"/>
    <col min="13573" max="13573" width="17.28515625" style="3" customWidth="1"/>
    <col min="13574" max="13574" width="16.7109375" style="3" customWidth="1"/>
    <col min="13575" max="13575" width="11.42578125" style="3"/>
    <col min="13576" max="13576" width="16.28515625" style="3" bestFit="1" customWidth="1"/>
    <col min="13577" max="13577" width="21.7109375" style="3" bestFit="1" customWidth="1"/>
    <col min="13578" max="13822" width="11.42578125" style="3"/>
    <col min="13823" max="13824" width="4.28515625" style="3" customWidth="1"/>
    <col min="13825" max="13825" width="5.5703125" style="3" customWidth="1"/>
    <col min="13826" max="13826" width="5.28515625" style="3" customWidth="1"/>
    <col min="13827" max="13827" width="44.7109375" style="3" customWidth="1"/>
    <col min="13828" max="13828" width="15.85546875" style="3" bestFit="1" customWidth="1"/>
    <col min="13829" max="13829" width="17.28515625" style="3" customWidth="1"/>
    <col min="13830" max="13830" width="16.7109375" style="3" customWidth="1"/>
    <col min="13831" max="13831" width="11.42578125" style="3"/>
    <col min="13832" max="13832" width="16.28515625" style="3" bestFit="1" customWidth="1"/>
    <col min="13833" max="13833" width="21.7109375" style="3" bestFit="1" customWidth="1"/>
    <col min="13834" max="14078" width="11.42578125" style="3"/>
    <col min="14079" max="14080" width="4.28515625" style="3" customWidth="1"/>
    <col min="14081" max="14081" width="5.5703125" style="3" customWidth="1"/>
    <col min="14082" max="14082" width="5.28515625" style="3" customWidth="1"/>
    <col min="14083" max="14083" width="44.7109375" style="3" customWidth="1"/>
    <col min="14084" max="14084" width="15.85546875" style="3" bestFit="1" customWidth="1"/>
    <col min="14085" max="14085" width="17.28515625" style="3" customWidth="1"/>
    <col min="14086" max="14086" width="16.7109375" style="3" customWidth="1"/>
    <col min="14087" max="14087" width="11.42578125" style="3"/>
    <col min="14088" max="14088" width="16.28515625" style="3" bestFit="1" customWidth="1"/>
    <col min="14089" max="14089" width="21.7109375" style="3" bestFit="1" customWidth="1"/>
    <col min="14090" max="14334" width="11.42578125" style="3"/>
    <col min="14335" max="14336" width="4.28515625" style="3" customWidth="1"/>
    <col min="14337" max="14337" width="5.5703125" style="3" customWidth="1"/>
    <col min="14338" max="14338" width="5.28515625" style="3" customWidth="1"/>
    <col min="14339" max="14339" width="44.7109375" style="3" customWidth="1"/>
    <col min="14340" max="14340" width="15.85546875" style="3" bestFit="1" customWidth="1"/>
    <col min="14341" max="14341" width="17.28515625" style="3" customWidth="1"/>
    <col min="14342" max="14342" width="16.7109375" style="3" customWidth="1"/>
    <col min="14343" max="14343" width="11.42578125" style="3"/>
    <col min="14344" max="14344" width="16.28515625" style="3" bestFit="1" customWidth="1"/>
    <col min="14345" max="14345" width="21.7109375" style="3" bestFit="1" customWidth="1"/>
    <col min="14346" max="14590" width="11.42578125" style="3"/>
    <col min="14591" max="14592" width="4.28515625" style="3" customWidth="1"/>
    <col min="14593" max="14593" width="5.5703125" style="3" customWidth="1"/>
    <col min="14594" max="14594" width="5.28515625" style="3" customWidth="1"/>
    <col min="14595" max="14595" width="44.7109375" style="3" customWidth="1"/>
    <col min="14596" max="14596" width="15.85546875" style="3" bestFit="1" customWidth="1"/>
    <col min="14597" max="14597" width="17.28515625" style="3" customWidth="1"/>
    <col min="14598" max="14598" width="16.7109375" style="3" customWidth="1"/>
    <col min="14599" max="14599" width="11.42578125" style="3"/>
    <col min="14600" max="14600" width="16.28515625" style="3" bestFit="1" customWidth="1"/>
    <col min="14601" max="14601" width="21.7109375" style="3" bestFit="1" customWidth="1"/>
    <col min="14602" max="14846" width="11.42578125" style="3"/>
    <col min="14847" max="14848" width="4.28515625" style="3" customWidth="1"/>
    <col min="14849" max="14849" width="5.5703125" style="3" customWidth="1"/>
    <col min="14850" max="14850" width="5.28515625" style="3" customWidth="1"/>
    <col min="14851" max="14851" width="44.7109375" style="3" customWidth="1"/>
    <col min="14852" max="14852" width="15.85546875" style="3" bestFit="1" customWidth="1"/>
    <col min="14853" max="14853" width="17.28515625" style="3" customWidth="1"/>
    <col min="14854" max="14854" width="16.7109375" style="3" customWidth="1"/>
    <col min="14855" max="14855" width="11.42578125" style="3"/>
    <col min="14856" max="14856" width="16.28515625" style="3" bestFit="1" customWidth="1"/>
    <col min="14857" max="14857" width="21.7109375" style="3" bestFit="1" customWidth="1"/>
    <col min="14858" max="15102" width="11.42578125" style="3"/>
    <col min="15103" max="15104" width="4.28515625" style="3" customWidth="1"/>
    <col min="15105" max="15105" width="5.5703125" style="3" customWidth="1"/>
    <col min="15106" max="15106" width="5.28515625" style="3" customWidth="1"/>
    <col min="15107" max="15107" width="44.7109375" style="3" customWidth="1"/>
    <col min="15108" max="15108" width="15.85546875" style="3" bestFit="1" customWidth="1"/>
    <col min="15109" max="15109" width="17.28515625" style="3" customWidth="1"/>
    <col min="15110" max="15110" width="16.7109375" style="3" customWidth="1"/>
    <col min="15111" max="15111" width="11.42578125" style="3"/>
    <col min="15112" max="15112" width="16.28515625" style="3" bestFit="1" customWidth="1"/>
    <col min="15113" max="15113" width="21.7109375" style="3" bestFit="1" customWidth="1"/>
    <col min="15114" max="15358" width="11.42578125" style="3"/>
    <col min="15359" max="15360" width="4.28515625" style="3" customWidth="1"/>
    <col min="15361" max="15361" width="5.5703125" style="3" customWidth="1"/>
    <col min="15362" max="15362" width="5.28515625" style="3" customWidth="1"/>
    <col min="15363" max="15363" width="44.7109375" style="3" customWidth="1"/>
    <col min="15364" max="15364" width="15.85546875" style="3" bestFit="1" customWidth="1"/>
    <col min="15365" max="15365" width="17.28515625" style="3" customWidth="1"/>
    <col min="15366" max="15366" width="16.7109375" style="3" customWidth="1"/>
    <col min="15367" max="15367" width="11.42578125" style="3"/>
    <col min="15368" max="15368" width="16.28515625" style="3" bestFit="1" customWidth="1"/>
    <col min="15369" max="15369" width="21.7109375" style="3" bestFit="1" customWidth="1"/>
    <col min="15370" max="15614" width="11.42578125" style="3"/>
    <col min="15615" max="15616" width="4.28515625" style="3" customWidth="1"/>
    <col min="15617" max="15617" width="5.5703125" style="3" customWidth="1"/>
    <col min="15618" max="15618" width="5.28515625" style="3" customWidth="1"/>
    <col min="15619" max="15619" width="44.7109375" style="3" customWidth="1"/>
    <col min="15620" max="15620" width="15.85546875" style="3" bestFit="1" customWidth="1"/>
    <col min="15621" max="15621" width="17.28515625" style="3" customWidth="1"/>
    <col min="15622" max="15622" width="16.7109375" style="3" customWidth="1"/>
    <col min="15623" max="15623" width="11.42578125" style="3"/>
    <col min="15624" max="15624" width="16.28515625" style="3" bestFit="1" customWidth="1"/>
    <col min="15625" max="15625" width="21.7109375" style="3" bestFit="1" customWidth="1"/>
    <col min="15626" max="15870" width="11.42578125" style="3"/>
    <col min="15871" max="15872" width="4.28515625" style="3" customWidth="1"/>
    <col min="15873" max="15873" width="5.5703125" style="3" customWidth="1"/>
    <col min="15874" max="15874" width="5.28515625" style="3" customWidth="1"/>
    <col min="15875" max="15875" width="44.7109375" style="3" customWidth="1"/>
    <col min="15876" max="15876" width="15.85546875" style="3" bestFit="1" customWidth="1"/>
    <col min="15877" max="15877" width="17.28515625" style="3" customWidth="1"/>
    <col min="15878" max="15878" width="16.7109375" style="3" customWidth="1"/>
    <col min="15879" max="15879" width="11.42578125" style="3"/>
    <col min="15880" max="15880" width="16.28515625" style="3" bestFit="1" customWidth="1"/>
    <col min="15881" max="15881" width="21.7109375" style="3" bestFit="1" customWidth="1"/>
    <col min="15882" max="16126" width="11.42578125" style="3"/>
    <col min="16127" max="16128" width="4.28515625" style="3" customWidth="1"/>
    <col min="16129" max="16129" width="5.5703125" style="3" customWidth="1"/>
    <col min="16130" max="16130" width="5.28515625" style="3" customWidth="1"/>
    <col min="16131" max="16131" width="44.7109375" style="3" customWidth="1"/>
    <col min="16132" max="16132" width="15.85546875" style="3" bestFit="1" customWidth="1"/>
    <col min="16133" max="16133" width="17.28515625" style="3" customWidth="1"/>
    <col min="16134" max="16134" width="16.7109375" style="3" customWidth="1"/>
    <col min="16135" max="16135" width="11.42578125" style="3"/>
    <col min="16136" max="16136" width="16.28515625" style="3" bestFit="1" customWidth="1"/>
    <col min="16137" max="16137" width="21.7109375" style="3" bestFit="1" customWidth="1"/>
    <col min="16138" max="16384" width="11.42578125" style="3"/>
  </cols>
  <sheetData>
    <row r="2" spans="1:9" ht="15">
      <c r="A2" s="361"/>
      <c r="B2" s="361"/>
      <c r="C2" s="361"/>
      <c r="D2" s="361"/>
      <c r="E2" s="361"/>
      <c r="F2" s="361"/>
      <c r="G2" s="361"/>
      <c r="H2" s="361"/>
    </row>
    <row r="3" spans="1:9" ht="48" customHeight="1">
      <c r="A3" s="362" t="s">
        <v>140</v>
      </c>
      <c r="B3" s="362"/>
      <c r="C3" s="362"/>
      <c r="D3" s="362"/>
      <c r="E3" s="362"/>
      <c r="F3" s="362"/>
      <c r="G3" s="362"/>
      <c r="H3" s="362"/>
    </row>
    <row r="4" spans="1:9" s="24" customFormat="1" ht="26.25" customHeight="1">
      <c r="A4" s="362" t="s">
        <v>32</v>
      </c>
      <c r="B4" s="362"/>
      <c r="C4" s="362"/>
      <c r="D4" s="362"/>
      <c r="E4" s="362"/>
      <c r="F4" s="362"/>
      <c r="G4" s="363"/>
      <c r="H4" s="363"/>
    </row>
    <row r="5" spans="1:9" ht="15.75" customHeight="1">
      <c r="A5" s="25"/>
      <c r="B5" s="26"/>
      <c r="C5" s="26"/>
      <c r="D5" s="26"/>
      <c r="E5" s="26"/>
    </row>
    <row r="6" spans="1:9" ht="27.75" customHeight="1">
      <c r="A6" s="27"/>
      <c r="B6" s="28"/>
      <c r="C6" s="28"/>
      <c r="D6" s="29"/>
      <c r="E6" s="30"/>
      <c r="F6" s="31" t="s">
        <v>141</v>
      </c>
      <c r="G6" s="31" t="s">
        <v>142</v>
      </c>
      <c r="H6" s="32" t="s">
        <v>143</v>
      </c>
      <c r="I6" s="33"/>
    </row>
    <row r="7" spans="1:9" ht="27.75" customHeight="1">
      <c r="A7" s="364" t="s">
        <v>33</v>
      </c>
      <c r="B7" s="356"/>
      <c r="C7" s="356"/>
      <c r="D7" s="356"/>
      <c r="E7" s="365"/>
      <c r="F7" s="34">
        <f>+F8+F9</f>
        <v>65567750</v>
      </c>
      <c r="G7" s="34">
        <f>G8+G9</f>
        <v>69000000</v>
      </c>
      <c r="H7" s="34">
        <f>+H8+H9</f>
        <v>72135000</v>
      </c>
      <c r="I7" s="35"/>
    </row>
    <row r="8" spans="1:9" ht="22.5" customHeight="1">
      <c r="A8" s="353" t="s">
        <v>0</v>
      </c>
      <c r="B8" s="354"/>
      <c r="C8" s="354"/>
      <c r="D8" s="354"/>
      <c r="E8" s="366"/>
      <c r="F8" s="36">
        <f>64722750-5000+850000</f>
        <v>65567750</v>
      </c>
      <c r="G8" s="36">
        <v>69000000</v>
      </c>
      <c r="H8" s="36">
        <v>72135000</v>
      </c>
    </row>
    <row r="9" spans="1:9" ht="22.5" customHeight="1">
      <c r="A9" s="367" t="s">
        <v>128</v>
      </c>
      <c r="B9" s="366"/>
      <c r="C9" s="366"/>
      <c r="D9" s="366"/>
      <c r="E9" s="366"/>
      <c r="F9" s="36"/>
      <c r="G9" s="36"/>
      <c r="H9" s="36"/>
    </row>
    <row r="10" spans="1:9" ht="22.5" customHeight="1">
      <c r="A10" s="37" t="s">
        <v>34</v>
      </c>
      <c r="B10" s="38"/>
      <c r="C10" s="38"/>
      <c r="D10" s="38"/>
      <c r="E10" s="38"/>
      <c r="F10" s="34">
        <f>+F11+F12</f>
        <v>64523000</v>
      </c>
      <c r="G10" s="34">
        <f>+G11+G12</f>
        <v>67950250</v>
      </c>
      <c r="H10" s="34">
        <f>+H11+H12</f>
        <v>71085250</v>
      </c>
    </row>
    <row r="11" spans="1:9" ht="22.5" customHeight="1">
      <c r="A11" s="357" t="s">
        <v>1</v>
      </c>
      <c r="B11" s="354"/>
      <c r="C11" s="354"/>
      <c r="D11" s="354"/>
      <c r="E11" s="368"/>
      <c r="F11" s="36">
        <f>62003000+850000</f>
        <v>62853000</v>
      </c>
      <c r="G11" s="36">
        <v>65220250</v>
      </c>
      <c r="H11" s="39">
        <v>67885250</v>
      </c>
      <c r="I11" s="1"/>
    </row>
    <row r="12" spans="1:9" ht="22.5" customHeight="1">
      <c r="A12" s="369" t="s">
        <v>133</v>
      </c>
      <c r="B12" s="366"/>
      <c r="C12" s="366"/>
      <c r="D12" s="366"/>
      <c r="E12" s="366"/>
      <c r="F12" s="40">
        <v>1670000</v>
      </c>
      <c r="G12" s="40">
        <v>2730000</v>
      </c>
      <c r="H12" s="39">
        <v>3200000</v>
      </c>
      <c r="I12" s="1"/>
    </row>
    <row r="13" spans="1:9" ht="22.5" customHeight="1">
      <c r="A13" s="355" t="s">
        <v>2</v>
      </c>
      <c r="B13" s="356"/>
      <c r="C13" s="356"/>
      <c r="D13" s="356"/>
      <c r="E13" s="356"/>
      <c r="F13" s="41">
        <f>+F7-F10</f>
        <v>1044750</v>
      </c>
      <c r="G13" s="41">
        <f>+G7-G10</f>
        <v>1049750</v>
      </c>
      <c r="H13" s="41">
        <f>+H7-H10</f>
        <v>1049750</v>
      </c>
    </row>
    <row r="14" spans="1:9" ht="25.5" customHeight="1">
      <c r="A14" s="362"/>
      <c r="B14" s="351"/>
      <c r="C14" s="351"/>
      <c r="D14" s="351"/>
      <c r="E14" s="351"/>
      <c r="F14" s="352"/>
      <c r="G14" s="352"/>
      <c r="H14" s="352"/>
    </row>
    <row r="15" spans="1:9" ht="27.75" customHeight="1">
      <c r="A15" s="27"/>
      <c r="B15" s="28"/>
      <c r="C15" s="28"/>
      <c r="D15" s="29"/>
      <c r="E15" s="30"/>
      <c r="F15" s="31" t="s">
        <v>141</v>
      </c>
      <c r="G15" s="31" t="s">
        <v>142</v>
      </c>
      <c r="H15" s="32" t="s">
        <v>143</v>
      </c>
    </row>
    <row r="16" spans="1:9" ht="30.75" customHeight="1">
      <c r="A16" s="370" t="s">
        <v>134</v>
      </c>
      <c r="B16" s="371"/>
      <c r="C16" s="371"/>
      <c r="D16" s="371"/>
      <c r="E16" s="372"/>
      <c r="F16" s="42">
        <v>5000</v>
      </c>
      <c r="G16" s="42"/>
      <c r="H16" s="43"/>
    </row>
    <row r="17" spans="1:9" ht="34.5" customHeight="1">
      <c r="A17" s="358" t="s">
        <v>135</v>
      </c>
      <c r="B17" s="359"/>
      <c r="C17" s="359"/>
      <c r="D17" s="359"/>
      <c r="E17" s="360"/>
      <c r="F17" s="44">
        <v>5000</v>
      </c>
      <c r="G17" s="44"/>
      <c r="H17" s="41"/>
    </row>
    <row r="18" spans="1:9" s="45" customFormat="1" ht="25.5" customHeight="1">
      <c r="A18" s="350"/>
      <c r="B18" s="351"/>
      <c r="C18" s="351"/>
      <c r="D18" s="351"/>
      <c r="E18" s="351"/>
      <c r="F18" s="352"/>
      <c r="G18" s="352"/>
      <c r="H18" s="352"/>
    </row>
    <row r="19" spans="1:9" s="45" customFormat="1" ht="27.75" customHeight="1">
      <c r="A19" s="27"/>
      <c r="B19" s="28"/>
      <c r="C19" s="28"/>
      <c r="D19" s="29"/>
      <c r="E19" s="30"/>
      <c r="F19" s="31" t="s">
        <v>144</v>
      </c>
      <c r="G19" s="31" t="s">
        <v>142</v>
      </c>
      <c r="H19" s="32" t="s">
        <v>143</v>
      </c>
    </row>
    <row r="20" spans="1:9" s="45" customFormat="1" ht="22.5" customHeight="1">
      <c r="A20" s="353" t="s">
        <v>3</v>
      </c>
      <c r="B20" s="354"/>
      <c r="C20" s="354"/>
      <c r="D20" s="354"/>
      <c r="E20" s="354"/>
      <c r="F20" s="40"/>
      <c r="G20" s="40"/>
      <c r="H20" s="40"/>
    </row>
    <row r="21" spans="1:9" s="45" customFormat="1" ht="33.75" customHeight="1">
      <c r="A21" s="353" t="s">
        <v>4</v>
      </c>
      <c r="B21" s="354"/>
      <c r="C21" s="354"/>
      <c r="D21" s="354"/>
      <c r="E21" s="354"/>
      <c r="F21" s="40">
        <v>1049750</v>
      </c>
      <c r="G21" s="40">
        <v>1049750</v>
      </c>
      <c r="H21" s="40">
        <v>1049750</v>
      </c>
    </row>
    <row r="22" spans="1:9" s="45" customFormat="1" ht="22.5" customHeight="1">
      <c r="A22" s="355" t="s">
        <v>5</v>
      </c>
      <c r="B22" s="356"/>
      <c r="C22" s="356"/>
      <c r="D22" s="356"/>
      <c r="E22" s="356"/>
      <c r="F22" s="34">
        <f>F20-F21</f>
        <v>-1049750</v>
      </c>
      <c r="G22" s="34">
        <f>G20-G21</f>
        <v>-1049750</v>
      </c>
      <c r="H22" s="34">
        <f>H20-H21</f>
        <v>-1049750</v>
      </c>
    </row>
    <row r="23" spans="1:9" s="45" customFormat="1" ht="25.5" customHeight="1">
      <c r="A23" s="350"/>
      <c r="B23" s="351"/>
      <c r="C23" s="351"/>
      <c r="D23" s="351"/>
      <c r="E23" s="351"/>
      <c r="F23" s="352"/>
      <c r="G23" s="352"/>
      <c r="H23" s="352"/>
    </row>
    <row r="24" spans="1:9" s="45" customFormat="1" ht="22.5" customHeight="1">
      <c r="A24" s="357" t="s">
        <v>6</v>
      </c>
      <c r="B24" s="354"/>
      <c r="C24" s="354"/>
      <c r="D24" s="354"/>
      <c r="E24" s="354"/>
      <c r="F24" s="40">
        <f>IF((F13+F17+F22)&lt;&gt;0,"NESLAGANJE ZBROJA",(F13+F17+F22))</f>
        <v>0</v>
      </c>
      <c r="G24" s="40">
        <f>IF((G13+G17+G22)&lt;&gt;0,"NESLAGANJE ZBROJA",(G13+G17+G22))</f>
        <v>0</v>
      </c>
      <c r="H24" s="40">
        <f>IF((H13+H17+H22)&lt;&gt;0,"NESLAGANJE ZBROJA",(H13+H17+H22))</f>
        <v>0</v>
      </c>
    </row>
    <row r="25" spans="1:9" ht="42" customHeight="1">
      <c r="A25" s="348" t="s">
        <v>136</v>
      </c>
      <c r="B25" s="349"/>
      <c r="C25" s="349"/>
      <c r="D25" s="349"/>
      <c r="E25" s="349"/>
      <c r="F25" s="349"/>
      <c r="G25" s="349"/>
      <c r="H25" s="349"/>
    </row>
    <row r="26" spans="1:9" ht="15">
      <c r="H26" s="203" t="s">
        <v>268</v>
      </c>
      <c r="I26" s="204"/>
    </row>
    <row r="27" spans="1:9" ht="15">
      <c r="H27" s="203" t="s">
        <v>269</v>
      </c>
      <c r="I27" s="203"/>
    </row>
    <row r="28" spans="1:9" ht="15">
      <c r="H28" s="203"/>
      <c r="I28" s="203"/>
    </row>
    <row r="29" spans="1:9" ht="15">
      <c r="F29" s="1"/>
      <c r="G29" s="1"/>
      <c r="H29" s="203" t="s">
        <v>271</v>
      </c>
      <c r="I29" s="203"/>
    </row>
    <row r="30" spans="1:9">
      <c r="E30" s="46"/>
    </row>
    <row r="35" spans="6:6">
      <c r="F35" s="1"/>
    </row>
    <row r="36" spans="6:6">
      <c r="F36" s="1"/>
    </row>
    <row r="37" spans="6:6">
      <c r="F37" s="1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5:H25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topLeftCell="B1" workbookViewId="0">
      <selection activeCell="C18" sqref="C18"/>
    </sheetView>
  </sheetViews>
  <sheetFormatPr defaultColWidth="9.140625" defaultRowHeight="12"/>
  <cols>
    <col min="1" max="1" width="9.28515625" style="4" hidden="1" customWidth="1"/>
    <col min="2" max="2" width="11.28515625" style="10" customWidth="1"/>
    <col min="3" max="3" width="51.7109375" style="21" customWidth="1"/>
    <col min="4" max="4" width="14.85546875" style="13" bestFit="1" customWidth="1"/>
    <col min="5" max="5" width="16.42578125" style="13" customWidth="1"/>
    <col min="6" max="6" width="15.7109375" style="13" customWidth="1"/>
    <col min="7" max="16384" width="9.140625" style="11"/>
  </cols>
  <sheetData>
    <row r="1" spans="1:6" ht="12.75" thickBot="1">
      <c r="C1" s="373"/>
      <c r="D1" s="374"/>
      <c r="E1" s="374"/>
      <c r="F1" s="374"/>
    </row>
    <row r="2" spans="1:6" ht="39" thickBot="1">
      <c r="A2" s="4" t="s">
        <v>35</v>
      </c>
      <c r="B2" s="322" t="s">
        <v>36</v>
      </c>
      <c r="C2" s="323" t="s">
        <v>16</v>
      </c>
      <c r="D2" s="324" t="s">
        <v>145</v>
      </c>
      <c r="E2" s="324" t="s">
        <v>138</v>
      </c>
      <c r="F2" s="325" t="s">
        <v>146</v>
      </c>
    </row>
    <row r="3" spans="1:6" s="7" customFormat="1" ht="12.75">
      <c r="A3" s="5">
        <f>LEN(B3)</f>
        <v>1</v>
      </c>
      <c r="B3" s="326">
        <v>6</v>
      </c>
      <c r="C3" s="20" t="s">
        <v>101</v>
      </c>
      <c r="D3" s="6">
        <f>D4+D10+D13+D15+D18+D21</f>
        <v>65567750</v>
      </c>
      <c r="E3" s="6">
        <f>E4+E10+E13+E15+E18+E21</f>
        <v>69000000</v>
      </c>
      <c r="F3" s="327">
        <f>F4+F10+F13+F15+F18+F21</f>
        <v>72135000</v>
      </c>
    </row>
    <row r="4" spans="1:6" s="9" customFormat="1" ht="25.5">
      <c r="A4" s="8">
        <f t="shared" ref="A4:A19" si="0">LEN(B4)</f>
        <v>2</v>
      </c>
      <c r="B4" s="326">
        <v>63</v>
      </c>
      <c r="C4" s="20" t="s">
        <v>102</v>
      </c>
      <c r="D4" s="6">
        <f>D5+D6+D7+D8+D9</f>
        <v>100000</v>
      </c>
      <c r="E4" s="6">
        <f t="shared" ref="E4:F4" si="1">E5+E6+E7+E8+E9</f>
        <v>100000</v>
      </c>
      <c r="F4" s="327">
        <f t="shared" si="1"/>
        <v>100000</v>
      </c>
    </row>
    <row r="5" spans="1:6" s="9" customFormat="1" ht="12.75">
      <c r="A5" s="8">
        <f t="shared" si="0"/>
        <v>3</v>
      </c>
      <c r="B5" s="328">
        <v>632</v>
      </c>
      <c r="C5" s="48" t="s">
        <v>103</v>
      </c>
      <c r="D5" s="12">
        <v>0</v>
      </c>
      <c r="E5" s="12">
        <v>0</v>
      </c>
      <c r="F5" s="329">
        <v>0</v>
      </c>
    </row>
    <row r="6" spans="1:6" s="9" customFormat="1" ht="12.75">
      <c r="A6" s="8"/>
      <c r="B6" s="328">
        <v>634</v>
      </c>
      <c r="C6" s="48" t="s">
        <v>148</v>
      </c>
      <c r="D6" s="12">
        <v>100000</v>
      </c>
      <c r="E6" s="12">
        <v>100000</v>
      </c>
      <c r="F6" s="329">
        <v>100000</v>
      </c>
    </row>
    <row r="7" spans="1:6" s="9" customFormat="1" ht="24">
      <c r="A7" s="8">
        <f t="shared" si="0"/>
        <v>3</v>
      </c>
      <c r="B7" s="328">
        <v>636</v>
      </c>
      <c r="C7" s="48" t="s">
        <v>104</v>
      </c>
      <c r="D7" s="12">
        <v>0</v>
      </c>
      <c r="E7" s="12">
        <v>0</v>
      </c>
      <c r="F7" s="329">
        <v>0</v>
      </c>
    </row>
    <row r="8" spans="1:6" s="19" customFormat="1" ht="12.75">
      <c r="A8" s="18">
        <f t="shared" si="0"/>
        <v>3</v>
      </c>
      <c r="B8" s="328">
        <v>638</v>
      </c>
      <c r="C8" s="48" t="s">
        <v>130</v>
      </c>
      <c r="D8" s="12">
        <v>0</v>
      </c>
      <c r="E8" s="12">
        <v>0</v>
      </c>
      <c r="F8" s="329">
        <v>0</v>
      </c>
    </row>
    <row r="9" spans="1:6" s="19" customFormat="1" ht="12.75">
      <c r="A9" s="18">
        <f t="shared" si="0"/>
        <v>3</v>
      </c>
      <c r="B9" s="328">
        <v>639</v>
      </c>
      <c r="C9" s="48" t="s">
        <v>129</v>
      </c>
      <c r="D9" s="12">
        <v>0</v>
      </c>
      <c r="E9" s="12">
        <v>0</v>
      </c>
      <c r="F9" s="329">
        <v>0</v>
      </c>
    </row>
    <row r="10" spans="1:6" s="9" customFormat="1" ht="12.75">
      <c r="A10" s="8">
        <f t="shared" si="0"/>
        <v>2</v>
      </c>
      <c r="B10" s="326">
        <v>64</v>
      </c>
      <c r="C10" s="20" t="s">
        <v>105</v>
      </c>
      <c r="D10" s="6">
        <f>D11+D12</f>
        <v>13000</v>
      </c>
      <c r="E10" s="6">
        <f>E11+E12</f>
        <v>15000</v>
      </c>
      <c r="F10" s="327">
        <f>F11+F12</f>
        <v>15000</v>
      </c>
    </row>
    <row r="11" spans="1:6" s="9" customFormat="1" ht="12.75">
      <c r="A11" s="8">
        <f t="shared" si="0"/>
        <v>3</v>
      </c>
      <c r="B11" s="328">
        <v>641</v>
      </c>
      <c r="C11" s="48" t="s">
        <v>106</v>
      </c>
      <c r="D11" s="12">
        <f>10000+3000</f>
        <v>13000</v>
      </c>
      <c r="E11" s="12">
        <v>15000</v>
      </c>
      <c r="F11" s="329">
        <v>15000</v>
      </c>
    </row>
    <row r="12" spans="1:6" s="9" customFormat="1" ht="12.75">
      <c r="A12" s="8">
        <f t="shared" si="0"/>
        <v>3</v>
      </c>
      <c r="B12" s="328">
        <v>642</v>
      </c>
      <c r="C12" s="48" t="s">
        <v>107</v>
      </c>
      <c r="D12" s="12">
        <v>0</v>
      </c>
      <c r="E12" s="12">
        <v>0</v>
      </c>
      <c r="F12" s="329">
        <v>0</v>
      </c>
    </row>
    <row r="13" spans="1:6" s="9" customFormat="1" ht="25.5">
      <c r="A13" s="8">
        <f t="shared" si="0"/>
        <v>2</v>
      </c>
      <c r="B13" s="326">
        <v>65</v>
      </c>
      <c r="C13" s="20" t="s">
        <v>108</v>
      </c>
      <c r="D13" s="6">
        <f>D14</f>
        <v>9450000</v>
      </c>
      <c r="E13" s="6">
        <f t="shared" ref="E13:F13" si="2">E14</f>
        <v>9535000</v>
      </c>
      <c r="F13" s="327">
        <f t="shared" si="2"/>
        <v>9670000</v>
      </c>
    </row>
    <row r="14" spans="1:6" s="9" customFormat="1" ht="12.75">
      <c r="A14" s="8">
        <f t="shared" si="0"/>
        <v>3</v>
      </c>
      <c r="B14" s="328">
        <v>652</v>
      </c>
      <c r="C14" s="48" t="s">
        <v>109</v>
      </c>
      <c r="D14" s="12">
        <f>9050000+400000</f>
        <v>9450000</v>
      </c>
      <c r="E14" s="12">
        <f>9135000+400000</f>
        <v>9535000</v>
      </c>
      <c r="F14" s="329">
        <f>9270000+400000</f>
        <v>9670000</v>
      </c>
    </row>
    <row r="15" spans="1:6" s="9" customFormat="1" ht="25.5">
      <c r="A15" s="8">
        <f t="shared" si="0"/>
        <v>2</v>
      </c>
      <c r="B15" s="326">
        <v>66</v>
      </c>
      <c r="C15" s="20" t="s">
        <v>110</v>
      </c>
      <c r="D15" s="6">
        <f>D16+D17</f>
        <v>9695000</v>
      </c>
      <c r="E15" s="6">
        <f>E16+E17</f>
        <v>12300000</v>
      </c>
      <c r="F15" s="327">
        <f>F16+F17</f>
        <v>14700000</v>
      </c>
    </row>
    <row r="16" spans="1:6" s="9" customFormat="1" ht="12.75">
      <c r="A16" s="8">
        <f t="shared" si="0"/>
        <v>3</v>
      </c>
      <c r="B16" s="328">
        <v>661</v>
      </c>
      <c r="C16" s="48" t="s">
        <v>111</v>
      </c>
      <c r="D16" s="12">
        <f>9400000-5000</f>
        <v>9395000</v>
      </c>
      <c r="E16" s="12">
        <v>12000000</v>
      </c>
      <c r="F16" s="329">
        <v>14400000</v>
      </c>
    </row>
    <row r="17" spans="1:6" s="9" customFormat="1" ht="12.75">
      <c r="A17" s="8">
        <f t="shared" si="0"/>
        <v>3</v>
      </c>
      <c r="B17" s="328">
        <v>663</v>
      </c>
      <c r="C17" s="48" t="s">
        <v>112</v>
      </c>
      <c r="D17" s="12">
        <v>300000</v>
      </c>
      <c r="E17" s="12">
        <v>300000</v>
      </c>
      <c r="F17" s="329">
        <v>300000</v>
      </c>
    </row>
    <row r="18" spans="1:6" s="9" customFormat="1" ht="25.5">
      <c r="A18" s="8">
        <f t="shared" si="0"/>
        <v>2</v>
      </c>
      <c r="B18" s="326">
        <v>67</v>
      </c>
      <c r="C18" s="20" t="s">
        <v>113</v>
      </c>
      <c r="D18" s="6">
        <f>D19+D20</f>
        <v>46109750</v>
      </c>
      <c r="E18" s="6">
        <f>E19+E20</f>
        <v>46850000</v>
      </c>
      <c r="F18" s="327">
        <f>F19+F20</f>
        <v>47450000</v>
      </c>
    </row>
    <row r="19" spans="1:6" s="9" customFormat="1" ht="24">
      <c r="A19" s="8">
        <f t="shared" si="0"/>
        <v>3</v>
      </c>
      <c r="B19" s="328">
        <v>671</v>
      </c>
      <c r="C19" s="48" t="s">
        <v>114</v>
      </c>
      <c r="D19" s="12">
        <f>1049750+990000+850000</f>
        <v>2889750</v>
      </c>
      <c r="E19" s="12">
        <v>3350000</v>
      </c>
      <c r="F19" s="329">
        <f>3000000+350000</f>
        <v>3350000</v>
      </c>
    </row>
    <row r="20" spans="1:6" s="9" customFormat="1" ht="12.75">
      <c r="A20" s="8">
        <f t="shared" ref="A20:A32" si="3">LEN(B20)</f>
        <v>3</v>
      </c>
      <c r="B20" s="328">
        <v>673</v>
      </c>
      <c r="C20" s="48" t="s">
        <v>115</v>
      </c>
      <c r="D20" s="12">
        <v>43220000</v>
      </c>
      <c r="E20" s="12">
        <v>43500000</v>
      </c>
      <c r="F20" s="329">
        <v>44100000</v>
      </c>
    </row>
    <row r="21" spans="1:6" s="9" customFormat="1" ht="12.75">
      <c r="A21" s="8">
        <f t="shared" si="3"/>
        <v>2</v>
      </c>
      <c r="B21" s="326">
        <v>68</v>
      </c>
      <c r="C21" s="20" t="s">
        <v>116</v>
      </c>
      <c r="D21" s="6">
        <f>D22</f>
        <v>200000</v>
      </c>
      <c r="E21" s="6">
        <f t="shared" ref="E21:F21" si="4">E22</f>
        <v>200000</v>
      </c>
      <c r="F21" s="327">
        <f t="shared" si="4"/>
        <v>200000</v>
      </c>
    </row>
    <row r="22" spans="1:6" s="9" customFormat="1" ht="12.75">
      <c r="A22" s="8">
        <f t="shared" si="3"/>
        <v>3</v>
      </c>
      <c r="B22" s="328">
        <v>683</v>
      </c>
      <c r="C22" s="48" t="s">
        <v>117</v>
      </c>
      <c r="D22" s="12">
        <v>200000</v>
      </c>
      <c r="E22" s="12">
        <v>200000</v>
      </c>
      <c r="F22" s="329">
        <v>200000</v>
      </c>
    </row>
    <row r="23" spans="1:6" s="7" customFormat="1" ht="12.75">
      <c r="A23" s="5">
        <f t="shared" si="3"/>
        <v>1</v>
      </c>
      <c r="B23" s="326">
        <v>7</v>
      </c>
      <c r="C23" s="20" t="s">
        <v>118</v>
      </c>
      <c r="D23" s="6">
        <f>D24+D26</f>
        <v>0</v>
      </c>
      <c r="E23" s="6">
        <f>E24+E26</f>
        <v>0</v>
      </c>
      <c r="F23" s="327">
        <f>F24+F26</f>
        <v>0</v>
      </c>
    </row>
    <row r="24" spans="1:6" s="9" customFormat="1" ht="25.5">
      <c r="A24" s="8">
        <f t="shared" si="3"/>
        <v>2</v>
      </c>
      <c r="B24" s="326">
        <v>71</v>
      </c>
      <c r="C24" s="20" t="s">
        <v>119</v>
      </c>
      <c r="D24" s="6">
        <f>D25</f>
        <v>0</v>
      </c>
      <c r="E24" s="6">
        <f t="shared" ref="E24:F24" si="5">E25</f>
        <v>0</v>
      </c>
      <c r="F24" s="327">
        <f t="shared" si="5"/>
        <v>0</v>
      </c>
    </row>
    <row r="25" spans="1:6" s="9" customFormat="1" ht="12.75">
      <c r="A25" s="8">
        <f t="shared" si="3"/>
        <v>3</v>
      </c>
      <c r="B25" s="328">
        <v>711</v>
      </c>
      <c r="C25" s="48" t="s">
        <v>120</v>
      </c>
      <c r="D25" s="12">
        <v>0</v>
      </c>
      <c r="E25" s="12">
        <v>0</v>
      </c>
      <c r="F25" s="329">
        <v>0</v>
      </c>
    </row>
    <row r="26" spans="1:6" s="9" customFormat="1" ht="12.75">
      <c r="A26" s="8">
        <f t="shared" si="3"/>
        <v>2</v>
      </c>
      <c r="B26" s="326">
        <v>72</v>
      </c>
      <c r="C26" s="20" t="s">
        <v>121</v>
      </c>
      <c r="D26" s="6">
        <f>D27+D28</f>
        <v>0</v>
      </c>
      <c r="E26" s="6">
        <f>E27+E28</f>
        <v>0</v>
      </c>
      <c r="F26" s="327">
        <f>F27+F28</f>
        <v>0</v>
      </c>
    </row>
    <row r="27" spans="1:6" s="9" customFormat="1" ht="12.75">
      <c r="A27" s="8">
        <f t="shared" si="3"/>
        <v>3</v>
      </c>
      <c r="B27" s="328">
        <v>721</v>
      </c>
      <c r="C27" s="48" t="s">
        <v>122</v>
      </c>
      <c r="D27" s="12">
        <v>0</v>
      </c>
      <c r="E27" s="12">
        <v>0</v>
      </c>
      <c r="F27" s="329">
        <v>0</v>
      </c>
    </row>
    <row r="28" spans="1:6" s="9" customFormat="1" ht="12.75">
      <c r="A28" s="8">
        <f t="shared" si="3"/>
        <v>3</v>
      </c>
      <c r="B28" s="328">
        <v>723</v>
      </c>
      <c r="C28" s="48" t="s">
        <v>123</v>
      </c>
      <c r="D28" s="12">
        <v>0</v>
      </c>
      <c r="E28" s="12">
        <v>0</v>
      </c>
      <c r="F28" s="329">
        <v>0</v>
      </c>
    </row>
    <row r="29" spans="1:6" s="7" customFormat="1" ht="12.75">
      <c r="A29" s="5">
        <f t="shared" si="3"/>
        <v>1</v>
      </c>
      <c r="B29" s="326">
        <v>8</v>
      </c>
      <c r="C29" s="20" t="s">
        <v>124</v>
      </c>
      <c r="D29" s="6">
        <f>D30</f>
        <v>0</v>
      </c>
      <c r="E29" s="6">
        <f t="shared" ref="E29:F29" si="6">E30</f>
        <v>0</v>
      </c>
      <c r="F29" s="327">
        <f t="shared" si="6"/>
        <v>0</v>
      </c>
    </row>
    <row r="30" spans="1:6" s="9" customFormat="1" ht="12.75">
      <c r="A30" s="8">
        <f t="shared" si="3"/>
        <v>2</v>
      </c>
      <c r="B30" s="326">
        <v>84</v>
      </c>
      <c r="C30" s="20" t="s">
        <v>125</v>
      </c>
      <c r="D30" s="6">
        <f>D31+D32</f>
        <v>0</v>
      </c>
      <c r="E30" s="6">
        <f>E31+E32</f>
        <v>0</v>
      </c>
      <c r="F30" s="327">
        <f>F31+F32</f>
        <v>0</v>
      </c>
    </row>
    <row r="31" spans="1:6" s="9" customFormat="1" ht="24">
      <c r="A31" s="8">
        <f t="shared" si="3"/>
        <v>3</v>
      </c>
      <c r="B31" s="328">
        <v>844</v>
      </c>
      <c r="C31" s="48" t="s">
        <v>126</v>
      </c>
      <c r="D31" s="12">
        <v>0</v>
      </c>
      <c r="E31" s="12">
        <v>0</v>
      </c>
      <c r="F31" s="329">
        <v>0</v>
      </c>
    </row>
    <row r="32" spans="1:6" s="9" customFormat="1" ht="13.5" thickBot="1">
      <c r="A32" s="8">
        <f t="shared" si="3"/>
        <v>3</v>
      </c>
      <c r="B32" s="330">
        <v>847</v>
      </c>
      <c r="C32" s="331" t="s">
        <v>127</v>
      </c>
      <c r="D32" s="332">
        <v>0</v>
      </c>
      <c r="E32" s="332">
        <v>0</v>
      </c>
      <c r="F32" s="333">
        <v>0</v>
      </c>
    </row>
  </sheetData>
  <autoFilter ref="A2:F32"/>
  <mergeCells count="1">
    <mergeCell ref="C1:F1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6"/>
  <sheetViews>
    <sheetView topLeftCell="B34" workbookViewId="0">
      <selection activeCell="H34" sqref="H34"/>
    </sheetView>
  </sheetViews>
  <sheetFormatPr defaultColWidth="9.140625" defaultRowHeight="12"/>
  <cols>
    <col min="1" max="1" width="9.140625" style="11" hidden="1" customWidth="1"/>
    <col min="2" max="2" width="12.28515625" style="11" customWidth="1"/>
    <col min="3" max="3" width="43.42578125" style="13" customWidth="1"/>
    <col min="4" max="4" width="14.28515625" style="17" customWidth="1"/>
    <col min="5" max="5" width="14.42578125" style="17" customWidth="1"/>
    <col min="6" max="6" width="14" style="17" customWidth="1"/>
    <col min="7" max="16384" width="9.140625" style="11"/>
  </cols>
  <sheetData>
    <row r="1" spans="1:6" ht="12.75" thickBot="1">
      <c r="C1" s="373"/>
      <c r="D1" s="374"/>
      <c r="E1" s="374"/>
      <c r="F1" s="374"/>
    </row>
    <row r="2" spans="1:6" ht="26.25" thickBot="1">
      <c r="A2" s="11" t="s">
        <v>35</v>
      </c>
      <c r="B2" s="209" t="s">
        <v>37</v>
      </c>
      <c r="C2" s="318" t="s">
        <v>16</v>
      </c>
      <c r="D2" s="319" t="s">
        <v>145</v>
      </c>
      <c r="E2" s="319" t="s">
        <v>138</v>
      </c>
      <c r="F2" s="320" t="s">
        <v>146</v>
      </c>
    </row>
    <row r="3" spans="1:6" s="202" customFormat="1" ht="12.75">
      <c r="B3" s="334"/>
      <c r="C3" s="317" t="s">
        <v>350</v>
      </c>
      <c r="D3" s="321">
        <f>D4+D24+D42</f>
        <v>65572750</v>
      </c>
      <c r="E3" s="321">
        <f t="shared" ref="E3:F3" si="0">E4+E24+E42</f>
        <v>69000000</v>
      </c>
      <c r="F3" s="335">
        <f t="shared" si="0"/>
        <v>72135000</v>
      </c>
    </row>
    <row r="4" spans="1:6" ht="12.75">
      <c r="A4" s="11">
        <f>LEN(B4)</f>
        <v>1</v>
      </c>
      <c r="B4" s="336" t="s">
        <v>39</v>
      </c>
      <c r="C4" s="315" t="s">
        <v>40</v>
      </c>
      <c r="D4" s="316">
        <f>D5+D9+D15+D18+D20+D22</f>
        <v>62853000</v>
      </c>
      <c r="E4" s="316">
        <f>E5+E9+E15+E18+E20+E22</f>
        <v>65220250</v>
      </c>
      <c r="F4" s="337">
        <f>F5+F9+F15+F18+F20+F22</f>
        <v>67885250</v>
      </c>
    </row>
    <row r="5" spans="1:6" ht="12.75">
      <c r="A5" s="47">
        <f t="shared" ref="A5:A23" si="1">LEN(B5)</f>
        <v>2</v>
      </c>
      <c r="B5" s="338" t="s">
        <v>41</v>
      </c>
      <c r="C5" s="22" t="s">
        <v>18</v>
      </c>
      <c r="D5" s="14">
        <f>+D6+D7+D8</f>
        <v>38070000</v>
      </c>
      <c r="E5" s="14">
        <f>+E6+E7+E8</f>
        <v>39230000</v>
      </c>
      <c r="F5" s="339">
        <f>+F6+F7+F8</f>
        <v>40259750</v>
      </c>
    </row>
    <row r="6" spans="1:6" ht="12" customHeight="1">
      <c r="A6" s="47">
        <f t="shared" si="1"/>
        <v>3</v>
      </c>
      <c r="B6" s="340" t="s">
        <v>42</v>
      </c>
      <c r="C6" s="49" t="s">
        <v>19</v>
      </c>
      <c r="D6" s="16">
        <v>31520000</v>
      </c>
      <c r="E6" s="16">
        <v>32470000</v>
      </c>
      <c r="F6" s="341">
        <v>33319750</v>
      </c>
    </row>
    <row r="7" spans="1:6" ht="12" customHeight="1">
      <c r="A7" s="47">
        <f t="shared" si="1"/>
        <v>3</v>
      </c>
      <c r="B7" s="340">
        <v>312</v>
      </c>
      <c r="C7" s="49" t="s">
        <v>20</v>
      </c>
      <c r="D7" s="16">
        <v>1350000</v>
      </c>
      <c r="E7" s="16">
        <v>1400000</v>
      </c>
      <c r="F7" s="341">
        <v>1440000</v>
      </c>
    </row>
    <row r="8" spans="1:6">
      <c r="A8" s="47">
        <f t="shared" si="1"/>
        <v>3</v>
      </c>
      <c r="B8" s="340">
        <v>313</v>
      </c>
      <c r="C8" s="49" t="s">
        <v>21</v>
      </c>
      <c r="D8" s="16">
        <v>5200000</v>
      </c>
      <c r="E8" s="16">
        <v>5360000</v>
      </c>
      <c r="F8" s="341">
        <v>5500000</v>
      </c>
    </row>
    <row r="9" spans="1:6" ht="12.75">
      <c r="A9" s="47">
        <f t="shared" si="1"/>
        <v>2</v>
      </c>
      <c r="B9" s="338" t="s">
        <v>43</v>
      </c>
      <c r="C9" s="22" t="s">
        <v>22</v>
      </c>
      <c r="D9" s="14">
        <f>D10+D11+D12+D13+D14</f>
        <v>24600749</v>
      </c>
      <c r="E9" s="14">
        <f>E10+E11+E12+E13+E14</f>
        <v>25820070</v>
      </c>
      <c r="F9" s="339">
        <f>F10+F11+F12+F13+F14</f>
        <v>27456390</v>
      </c>
    </row>
    <row r="10" spans="1:6" ht="12" customHeight="1">
      <c r="A10" s="47">
        <f t="shared" si="1"/>
        <v>3</v>
      </c>
      <c r="B10" s="340" t="s">
        <v>44</v>
      </c>
      <c r="C10" s="49" t="s">
        <v>23</v>
      </c>
      <c r="D10" s="16">
        <v>1165000</v>
      </c>
      <c r="E10" s="16">
        <v>1205000</v>
      </c>
      <c r="F10" s="341">
        <v>1285000</v>
      </c>
    </row>
    <row r="11" spans="1:6" ht="12" customHeight="1">
      <c r="A11" s="47">
        <f t="shared" si="1"/>
        <v>3</v>
      </c>
      <c r="B11" s="340" t="s">
        <v>45</v>
      </c>
      <c r="C11" s="49" t="s">
        <v>24</v>
      </c>
      <c r="D11" s="16">
        <v>16462749</v>
      </c>
      <c r="E11" s="16">
        <v>16990000</v>
      </c>
      <c r="F11" s="341">
        <v>17760000</v>
      </c>
    </row>
    <row r="12" spans="1:6" ht="12" customHeight="1">
      <c r="A12" s="47">
        <f t="shared" si="1"/>
        <v>3</v>
      </c>
      <c r="B12" s="340" t="s">
        <v>46</v>
      </c>
      <c r="C12" s="49" t="s">
        <v>25</v>
      </c>
      <c r="D12" s="16">
        <v>6520000</v>
      </c>
      <c r="E12" s="16">
        <v>7163070</v>
      </c>
      <c r="F12" s="341">
        <v>7907390</v>
      </c>
    </row>
    <row r="13" spans="1:6" ht="12" customHeight="1">
      <c r="A13" s="47">
        <f t="shared" si="1"/>
        <v>3</v>
      </c>
      <c r="B13" s="340" t="s">
        <v>47</v>
      </c>
      <c r="C13" s="49" t="s">
        <v>48</v>
      </c>
      <c r="D13" s="16">
        <v>36000</v>
      </c>
      <c r="E13" s="16">
        <v>30000</v>
      </c>
      <c r="F13" s="341">
        <v>40000</v>
      </c>
    </row>
    <row r="14" spans="1:6" ht="12" customHeight="1">
      <c r="A14" s="47">
        <f t="shared" si="1"/>
        <v>3</v>
      </c>
      <c r="B14" s="340" t="s">
        <v>49</v>
      </c>
      <c r="C14" s="49" t="s">
        <v>26</v>
      </c>
      <c r="D14" s="16">
        <v>417000</v>
      </c>
      <c r="E14" s="16">
        <v>432000</v>
      </c>
      <c r="F14" s="341">
        <v>464000</v>
      </c>
    </row>
    <row r="15" spans="1:6" ht="12.75">
      <c r="A15" s="47">
        <f t="shared" si="1"/>
        <v>2</v>
      </c>
      <c r="B15" s="338" t="s">
        <v>50</v>
      </c>
      <c r="C15" s="22" t="s">
        <v>51</v>
      </c>
      <c r="D15" s="14">
        <f>D16+D17</f>
        <v>182251</v>
      </c>
      <c r="E15" s="14">
        <f>E16+E17</f>
        <v>170180</v>
      </c>
      <c r="F15" s="339">
        <f>F16+F17</f>
        <v>169110</v>
      </c>
    </row>
    <row r="16" spans="1:6" ht="12" customHeight="1">
      <c r="A16" s="47">
        <f t="shared" si="1"/>
        <v>3</v>
      </c>
      <c r="B16" s="340" t="s">
        <v>52</v>
      </c>
      <c r="C16" s="49" t="s">
        <v>53</v>
      </c>
      <c r="D16" s="16">
        <v>46751</v>
      </c>
      <c r="E16" s="16">
        <v>34680</v>
      </c>
      <c r="F16" s="341">
        <v>22610</v>
      </c>
    </row>
    <row r="17" spans="1:6" ht="12" customHeight="1">
      <c r="A17" s="47">
        <f t="shared" si="1"/>
        <v>3</v>
      </c>
      <c r="B17" s="340" t="s">
        <v>54</v>
      </c>
      <c r="C17" s="49" t="s">
        <v>27</v>
      </c>
      <c r="D17" s="16">
        <v>135500</v>
      </c>
      <c r="E17" s="16">
        <v>135500</v>
      </c>
      <c r="F17" s="341">
        <v>146500</v>
      </c>
    </row>
    <row r="18" spans="1:6" s="23" customFormat="1" ht="25.5">
      <c r="A18" s="47">
        <f t="shared" si="1"/>
        <v>2</v>
      </c>
      <c r="B18" s="338">
        <v>36</v>
      </c>
      <c r="C18" s="22" t="s">
        <v>132</v>
      </c>
      <c r="D18" s="14">
        <f>D19</f>
        <v>0</v>
      </c>
      <c r="E18" s="14">
        <f t="shared" ref="E18:F18" si="2">E19</f>
        <v>0</v>
      </c>
      <c r="F18" s="339">
        <f t="shared" si="2"/>
        <v>0</v>
      </c>
    </row>
    <row r="19" spans="1:6" s="23" customFormat="1" ht="24">
      <c r="A19" s="47">
        <f t="shared" si="1"/>
        <v>3</v>
      </c>
      <c r="B19" s="340" t="s">
        <v>131</v>
      </c>
      <c r="C19" s="49" t="s">
        <v>129</v>
      </c>
      <c r="D19" s="16">
        <v>0</v>
      </c>
      <c r="E19" s="16">
        <v>0</v>
      </c>
      <c r="F19" s="341">
        <v>0</v>
      </c>
    </row>
    <row r="20" spans="1:6" ht="25.5">
      <c r="A20" s="47">
        <f t="shared" si="1"/>
        <v>2</v>
      </c>
      <c r="B20" s="338" t="s">
        <v>55</v>
      </c>
      <c r="C20" s="22" t="s">
        <v>56</v>
      </c>
      <c r="D20" s="14">
        <f>D21</f>
        <v>0</v>
      </c>
      <c r="E20" s="14">
        <f t="shared" ref="E20:F20" si="3">E21</f>
        <v>0</v>
      </c>
      <c r="F20" s="339">
        <f t="shared" si="3"/>
        <v>0</v>
      </c>
    </row>
    <row r="21" spans="1:6" ht="12" customHeight="1">
      <c r="A21" s="47">
        <f t="shared" si="1"/>
        <v>3</v>
      </c>
      <c r="B21" s="340" t="s">
        <v>57</v>
      </c>
      <c r="C21" s="49" t="s">
        <v>58</v>
      </c>
      <c r="D21" s="16">
        <v>0</v>
      </c>
      <c r="E21" s="16">
        <v>0</v>
      </c>
      <c r="F21" s="341">
        <v>0</v>
      </c>
    </row>
    <row r="22" spans="1:6" ht="12.75">
      <c r="A22" s="47">
        <f t="shared" si="1"/>
        <v>2</v>
      </c>
      <c r="B22" s="338" t="s">
        <v>59</v>
      </c>
      <c r="C22" s="22" t="s">
        <v>60</v>
      </c>
      <c r="D22" s="14">
        <f>D23</f>
        <v>0</v>
      </c>
      <c r="E22" s="14">
        <f t="shared" ref="E22:F22" si="4">E23</f>
        <v>0</v>
      </c>
      <c r="F22" s="339">
        <f t="shared" si="4"/>
        <v>0</v>
      </c>
    </row>
    <row r="23" spans="1:6">
      <c r="A23" s="47">
        <f t="shared" si="1"/>
        <v>3</v>
      </c>
      <c r="B23" s="340">
        <v>383</v>
      </c>
      <c r="C23" s="49" t="s">
        <v>61</v>
      </c>
      <c r="D23" s="16">
        <v>0</v>
      </c>
      <c r="E23" s="16">
        <v>0</v>
      </c>
      <c r="F23" s="341">
        <v>0</v>
      </c>
    </row>
    <row r="24" spans="1:6" ht="12.75">
      <c r="A24" s="47">
        <f t="shared" ref="A24:A46" si="5">LEN(B24)</f>
        <v>1</v>
      </c>
      <c r="B24" s="338" t="s">
        <v>62</v>
      </c>
      <c r="C24" s="22" t="s">
        <v>29</v>
      </c>
      <c r="D24" s="14">
        <f>D25+D28+D35+D37+D39</f>
        <v>1670000</v>
      </c>
      <c r="E24" s="14">
        <f>E25+E28+E35+E37+E39</f>
        <v>2730000</v>
      </c>
      <c r="F24" s="339">
        <f>F25+F28+F35+F37+F39</f>
        <v>3200000</v>
      </c>
    </row>
    <row r="25" spans="1:6" ht="25.5">
      <c r="A25" s="47">
        <f t="shared" si="5"/>
        <v>2</v>
      </c>
      <c r="B25" s="338" t="s">
        <v>63</v>
      </c>
      <c r="C25" s="22" t="s">
        <v>64</v>
      </c>
      <c r="D25" s="50">
        <f>SUM(D26:D27)</f>
        <v>21000</v>
      </c>
      <c r="E25" s="50">
        <f t="shared" ref="E25:F25" si="6">SUM(E26:E27)</f>
        <v>50000</v>
      </c>
      <c r="F25" s="342">
        <f t="shared" si="6"/>
        <v>50000</v>
      </c>
    </row>
    <row r="26" spans="1:6" ht="12" customHeight="1">
      <c r="A26" s="47">
        <f t="shared" si="5"/>
        <v>3</v>
      </c>
      <c r="B26" s="340" t="s">
        <v>65</v>
      </c>
      <c r="C26" s="49" t="s">
        <v>30</v>
      </c>
      <c r="D26" s="16">
        <v>0</v>
      </c>
      <c r="E26" s="16">
        <v>0</v>
      </c>
      <c r="F26" s="341">
        <v>0</v>
      </c>
    </row>
    <row r="27" spans="1:6" ht="12" customHeight="1">
      <c r="A27" s="47">
        <f t="shared" si="5"/>
        <v>3</v>
      </c>
      <c r="B27" s="340" t="s">
        <v>66</v>
      </c>
      <c r="C27" s="49" t="s">
        <v>67</v>
      </c>
      <c r="D27" s="16">
        <v>21000</v>
      </c>
      <c r="E27" s="16">
        <v>50000</v>
      </c>
      <c r="F27" s="341">
        <v>50000</v>
      </c>
    </row>
    <row r="28" spans="1:6" ht="25.5">
      <c r="A28" s="47">
        <f t="shared" si="5"/>
        <v>2</v>
      </c>
      <c r="B28" s="338" t="s">
        <v>68</v>
      </c>
      <c r="C28" s="22" t="s">
        <v>69</v>
      </c>
      <c r="D28" s="50">
        <f>D29+D30+D31+D32+D33+D34</f>
        <v>1649000</v>
      </c>
      <c r="E28" s="16">
        <f>E29+E30+E31+E32+E33+E34</f>
        <v>2680000</v>
      </c>
      <c r="F28" s="341">
        <f>F29+F30+F31+F32+F33+F34</f>
        <v>3150000</v>
      </c>
    </row>
    <row r="29" spans="1:6" ht="12" customHeight="1">
      <c r="A29" s="47">
        <f t="shared" si="5"/>
        <v>3</v>
      </c>
      <c r="B29" s="340" t="s">
        <v>70</v>
      </c>
      <c r="C29" s="49" t="s">
        <v>71</v>
      </c>
      <c r="D29" s="16">
        <v>0</v>
      </c>
      <c r="E29" s="16">
        <v>0</v>
      </c>
      <c r="F29" s="341">
        <v>0</v>
      </c>
    </row>
    <row r="30" spans="1:6" ht="12" customHeight="1">
      <c r="A30" s="47">
        <f t="shared" si="5"/>
        <v>3</v>
      </c>
      <c r="B30" s="340" t="s">
        <v>72</v>
      </c>
      <c r="C30" s="49" t="s">
        <v>28</v>
      </c>
      <c r="D30" s="16">
        <v>1629000</v>
      </c>
      <c r="E30" s="16">
        <v>1980000</v>
      </c>
      <c r="F30" s="341">
        <v>3000000</v>
      </c>
    </row>
    <row r="31" spans="1:6" ht="12" customHeight="1">
      <c r="A31" s="47">
        <f t="shared" si="5"/>
        <v>3</v>
      </c>
      <c r="B31" s="340" t="s">
        <v>73</v>
      </c>
      <c r="C31" s="49" t="s">
        <v>74</v>
      </c>
      <c r="D31" s="16">
        <v>0</v>
      </c>
      <c r="E31" s="16">
        <v>0</v>
      </c>
      <c r="F31" s="341">
        <v>0</v>
      </c>
    </row>
    <row r="32" spans="1:6" ht="12" customHeight="1">
      <c r="A32" s="47">
        <f t="shared" si="5"/>
        <v>3</v>
      </c>
      <c r="B32" s="340" t="s">
        <v>75</v>
      </c>
      <c r="C32" s="49" t="s">
        <v>31</v>
      </c>
      <c r="D32" s="16">
        <v>0</v>
      </c>
      <c r="E32" s="16">
        <v>0</v>
      </c>
      <c r="F32" s="341">
        <v>0</v>
      </c>
    </row>
    <row r="33" spans="1:6" ht="12" customHeight="1">
      <c r="A33" s="47">
        <f t="shared" si="5"/>
        <v>3</v>
      </c>
      <c r="B33" s="340">
        <v>425</v>
      </c>
      <c r="C33" s="49" t="s">
        <v>76</v>
      </c>
      <c r="D33" s="16">
        <v>0</v>
      </c>
      <c r="E33" s="16">
        <v>0</v>
      </c>
      <c r="F33" s="341">
        <v>0</v>
      </c>
    </row>
    <row r="34" spans="1:6" ht="12" customHeight="1">
      <c r="A34" s="47">
        <f t="shared" si="5"/>
        <v>3</v>
      </c>
      <c r="B34" s="340" t="s">
        <v>77</v>
      </c>
      <c r="C34" s="49" t="s">
        <v>78</v>
      </c>
      <c r="D34" s="16">
        <v>20000</v>
      </c>
      <c r="E34" s="16">
        <v>700000</v>
      </c>
      <c r="F34" s="341">
        <v>150000</v>
      </c>
    </row>
    <row r="35" spans="1:6" ht="25.5">
      <c r="A35" s="47">
        <f t="shared" si="5"/>
        <v>2</v>
      </c>
      <c r="B35" s="338" t="s">
        <v>79</v>
      </c>
      <c r="C35" s="22" t="s">
        <v>80</v>
      </c>
      <c r="D35" s="14">
        <f>D36+D37+D39</f>
        <v>0</v>
      </c>
      <c r="E35" s="14">
        <f>E36+E37+E39</f>
        <v>0</v>
      </c>
      <c r="F35" s="339">
        <f>F36+F37+F39</f>
        <v>0</v>
      </c>
    </row>
    <row r="36" spans="1:6" ht="12" customHeight="1">
      <c r="A36" s="47">
        <f t="shared" si="5"/>
        <v>3</v>
      </c>
      <c r="B36" s="340" t="s">
        <v>81</v>
      </c>
      <c r="C36" s="49" t="s">
        <v>82</v>
      </c>
      <c r="D36" s="16">
        <v>0</v>
      </c>
      <c r="E36" s="16">
        <v>0</v>
      </c>
      <c r="F36" s="341">
        <v>0</v>
      </c>
    </row>
    <row r="37" spans="1:6" ht="25.5">
      <c r="A37" s="47">
        <f t="shared" si="5"/>
        <v>2</v>
      </c>
      <c r="B37" s="338" t="s">
        <v>83</v>
      </c>
      <c r="C37" s="22" t="s">
        <v>84</v>
      </c>
      <c r="D37" s="14">
        <f>D38</f>
        <v>0</v>
      </c>
      <c r="E37" s="14">
        <f t="shared" ref="E37:F37" si="7">E38</f>
        <v>0</v>
      </c>
      <c r="F37" s="339">
        <f t="shared" si="7"/>
        <v>0</v>
      </c>
    </row>
    <row r="38" spans="1:6" ht="12" customHeight="1">
      <c r="A38" s="47">
        <f t="shared" si="5"/>
        <v>3</v>
      </c>
      <c r="B38" s="340" t="s">
        <v>85</v>
      </c>
      <c r="C38" s="49" t="s">
        <v>86</v>
      </c>
      <c r="D38" s="16">
        <v>0</v>
      </c>
      <c r="E38" s="16">
        <v>0</v>
      </c>
      <c r="F38" s="341">
        <v>0</v>
      </c>
    </row>
    <row r="39" spans="1:6" ht="25.5">
      <c r="A39" s="47">
        <f t="shared" si="5"/>
        <v>2</v>
      </c>
      <c r="B39" s="338" t="s">
        <v>87</v>
      </c>
      <c r="C39" s="22" t="s">
        <v>88</v>
      </c>
      <c r="D39" s="15">
        <f>D40+D41</f>
        <v>0</v>
      </c>
      <c r="E39" s="15">
        <f>E40+E41</f>
        <v>0</v>
      </c>
      <c r="F39" s="343">
        <f>F40+F41</f>
        <v>0</v>
      </c>
    </row>
    <row r="40" spans="1:6" ht="12" customHeight="1">
      <c r="A40" s="47">
        <f t="shared" si="5"/>
        <v>3</v>
      </c>
      <c r="B40" s="340" t="s">
        <v>89</v>
      </c>
      <c r="C40" s="49" t="s">
        <v>38</v>
      </c>
      <c r="D40" s="16">
        <v>0</v>
      </c>
      <c r="E40" s="16">
        <v>0</v>
      </c>
      <c r="F40" s="341">
        <v>0</v>
      </c>
    </row>
    <row r="41" spans="1:6">
      <c r="A41" s="47">
        <f t="shared" si="5"/>
        <v>3</v>
      </c>
      <c r="B41" s="340">
        <v>452</v>
      </c>
      <c r="C41" s="49" t="s">
        <v>90</v>
      </c>
      <c r="D41" s="16">
        <v>0</v>
      </c>
      <c r="E41" s="16">
        <v>0</v>
      </c>
      <c r="F41" s="341">
        <v>0</v>
      </c>
    </row>
    <row r="42" spans="1:6" ht="25.5">
      <c r="A42" s="47">
        <f t="shared" si="5"/>
        <v>1</v>
      </c>
      <c r="B42" s="338" t="s">
        <v>91</v>
      </c>
      <c r="C42" s="22" t="s">
        <v>92</v>
      </c>
      <c r="D42" s="15">
        <f>D43+D45</f>
        <v>1049750</v>
      </c>
      <c r="E42" s="15">
        <f>E43+E45</f>
        <v>1049750</v>
      </c>
      <c r="F42" s="343">
        <f>F43+F45</f>
        <v>1049750</v>
      </c>
    </row>
    <row r="43" spans="1:6" ht="12.75">
      <c r="A43" s="47">
        <f t="shared" si="5"/>
        <v>2</v>
      </c>
      <c r="B43" s="338" t="s">
        <v>93</v>
      </c>
      <c r="C43" s="22" t="s">
        <v>94</v>
      </c>
      <c r="D43" s="15">
        <f>D44</f>
        <v>0</v>
      </c>
      <c r="E43" s="15">
        <f t="shared" ref="E43:F43" si="8">E44</f>
        <v>0</v>
      </c>
      <c r="F43" s="343">
        <f t="shared" si="8"/>
        <v>0</v>
      </c>
    </row>
    <row r="44" spans="1:6" ht="24">
      <c r="A44" s="47">
        <f t="shared" si="5"/>
        <v>3</v>
      </c>
      <c r="B44" s="340" t="s">
        <v>95</v>
      </c>
      <c r="C44" s="49" t="s">
        <v>96</v>
      </c>
      <c r="D44" s="16">
        <v>0</v>
      </c>
      <c r="E44" s="16">
        <v>0</v>
      </c>
      <c r="F44" s="341">
        <v>0</v>
      </c>
    </row>
    <row r="45" spans="1:6" ht="25.5">
      <c r="A45" s="47">
        <f t="shared" si="5"/>
        <v>2</v>
      </c>
      <c r="B45" s="338" t="s">
        <v>97</v>
      </c>
      <c r="C45" s="22" t="s">
        <v>98</v>
      </c>
      <c r="D45" s="15">
        <f>D46</f>
        <v>1049750</v>
      </c>
      <c r="E45" s="15">
        <v>1049750</v>
      </c>
      <c r="F45" s="343">
        <v>1049750</v>
      </c>
    </row>
    <row r="46" spans="1:6" ht="36.75" thickBot="1">
      <c r="A46" s="47">
        <f t="shared" si="5"/>
        <v>3</v>
      </c>
      <c r="B46" s="344" t="s">
        <v>99</v>
      </c>
      <c r="C46" s="345" t="s">
        <v>100</v>
      </c>
      <c r="D46" s="346">
        <v>1049750</v>
      </c>
      <c r="E46" s="346">
        <v>0</v>
      </c>
      <c r="F46" s="347">
        <v>0</v>
      </c>
    </row>
  </sheetData>
  <autoFilter ref="A2:F46"/>
  <mergeCells count="1">
    <mergeCell ref="C1:F1"/>
  </mergeCell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7"/>
  <sheetViews>
    <sheetView topLeftCell="A36" workbookViewId="0">
      <selection activeCell="L54" sqref="L54"/>
    </sheetView>
  </sheetViews>
  <sheetFormatPr defaultColWidth="11.42578125" defaultRowHeight="12.75"/>
  <cols>
    <col min="1" max="1" width="18" style="98" customWidth="1"/>
    <col min="2" max="2" width="13.140625" style="98" bestFit="1" customWidth="1"/>
    <col min="3" max="3" width="17" style="98" customWidth="1"/>
    <col min="4" max="4" width="16.5703125" style="98" customWidth="1"/>
    <col min="5" max="5" width="16.5703125" style="99" customWidth="1"/>
    <col min="6" max="7" width="13.7109375" style="51" customWidth="1"/>
    <col min="8" max="8" width="14.5703125" style="51" customWidth="1"/>
    <col min="9" max="9" width="11.85546875" style="51" bestFit="1" customWidth="1"/>
    <col min="10" max="10" width="16.42578125" style="51" customWidth="1"/>
    <col min="11" max="16384" width="11.42578125" style="51"/>
  </cols>
  <sheetData>
    <row r="1" spans="1:10" ht="16.5" thickBot="1">
      <c r="A1" s="376" t="s">
        <v>149</v>
      </c>
      <c r="B1" s="377"/>
      <c r="C1" s="377"/>
      <c r="D1" s="377"/>
      <c r="E1" s="377"/>
      <c r="F1" s="377"/>
      <c r="G1" s="377"/>
      <c r="H1" s="378"/>
    </row>
    <row r="2" spans="1:10" ht="13.5" thickBot="1">
      <c r="A2" s="52"/>
      <c r="B2" s="52"/>
      <c r="C2" s="53"/>
      <c r="D2" s="53"/>
      <c r="E2" s="53"/>
      <c r="F2" s="53"/>
      <c r="G2" s="53"/>
      <c r="H2" s="53"/>
      <c r="I2" s="54" t="s">
        <v>150</v>
      </c>
      <c r="J2" s="53"/>
    </row>
    <row r="3" spans="1:10" ht="26.25" thickBot="1">
      <c r="A3" s="55" t="s">
        <v>7</v>
      </c>
      <c r="B3" s="379" t="s">
        <v>137</v>
      </c>
      <c r="C3" s="380"/>
      <c r="D3" s="380"/>
      <c r="E3" s="380"/>
      <c r="F3" s="380"/>
      <c r="G3" s="380"/>
      <c r="H3" s="380"/>
      <c r="I3" s="381"/>
      <c r="J3" s="53"/>
    </row>
    <row r="4" spans="1:10" ht="102.75" thickBot="1">
      <c r="A4" s="56" t="s">
        <v>8</v>
      </c>
      <c r="B4" s="57" t="s">
        <v>259</v>
      </c>
      <c r="C4" s="58" t="s">
        <v>260</v>
      </c>
      <c r="D4" s="59" t="s">
        <v>261</v>
      </c>
      <c r="E4" s="59" t="s">
        <v>262</v>
      </c>
      <c r="F4" s="59" t="s">
        <v>263</v>
      </c>
      <c r="G4" s="59" t="s">
        <v>264</v>
      </c>
      <c r="H4" s="59" t="s">
        <v>265</v>
      </c>
      <c r="I4" s="60" t="s">
        <v>266</v>
      </c>
      <c r="J4" s="61" t="s">
        <v>151</v>
      </c>
    </row>
    <row r="5" spans="1:10" ht="25.5">
      <c r="A5" s="62" t="s">
        <v>152</v>
      </c>
      <c r="B5" s="63"/>
      <c r="C5" s="64"/>
      <c r="D5" s="65"/>
      <c r="E5" s="65"/>
      <c r="F5" s="66">
        <v>100000</v>
      </c>
      <c r="G5" s="65"/>
      <c r="H5" s="65"/>
      <c r="I5" s="67"/>
      <c r="J5" s="68">
        <f t="shared" ref="J5:J15" si="0">SUM(B5:I5)</f>
        <v>100000</v>
      </c>
    </row>
    <row r="6" spans="1:10">
      <c r="A6" s="69" t="s">
        <v>153</v>
      </c>
      <c r="B6" s="70"/>
      <c r="C6" s="71"/>
      <c r="D6" s="72">
        <v>10000</v>
      </c>
      <c r="E6" s="73"/>
      <c r="F6" s="74"/>
      <c r="G6" s="74"/>
      <c r="H6" s="74"/>
      <c r="I6" s="75"/>
      <c r="J6" s="76">
        <f t="shared" si="0"/>
        <v>10000</v>
      </c>
    </row>
    <row r="7" spans="1:10" ht="25.5">
      <c r="A7" s="69" t="s">
        <v>154</v>
      </c>
      <c r="B7" s="70"/>
      <c r="C7" s="71"/>
      <c r="D7" s="72">
        <v>3000</v>
      </c>
      <c r="E7" s="73"/>
      <c r="F7" s="74"/>
      <c r="G7" s="74"/>
      <c r="H7" s="74"/>
      <c r="I7" s="75"/>
      <c r="J7" s="76">
        <f t="shared" si="0"/>
        <v>3000</v>
      </c>
    </row>
    <row r="8" spans="1:10">
      <c r="A8" s="69" t="s">
        <v>155</v>
      </c>
      <c r="B8" s="77"/>
      <c r="C8" s="78"/>
      <c r="D8" s="79"/>
      <c r="E8" s="79">
        <v>9050000</v>
      </c>
      <c r="F8" s="79"/>
      <c r="G8" s="79"/>
      <c r="H8" s="79"/>
      <c r="I8" s="80"/>
      <c r="J8" s="76">
        <f t="shared" si="0"/>
        <v>9050000</v>
      </c>
    </row>
    <row r="9" spans="1:10">
      <c r="A9" s="69" t="s">
        <v>156</v>
      </c>
      <c r="B9" s="77"/>
      <c r="C9" s="78"/>
      <c r="D9" s="79"/>
      <c r="E9" s="79"/>
      <c r="F9" s="79"/>
      <c r="G9" s="79"/>
      <c r="H9" s="79">
        <v>400000</v>
      </c>
      <c r="I9" s="80"/>
      <c r="J9" s="76">
        <f t="shared" si="0"/>
        <v>400000</v>
      </c>
    </row>
    <row r="10" spans="1:10">
      <c r="A10" s="69" t="s">
        <v>157</v>
      </c>
      <c r="B10" s="77"/>
      <c r="C10" s="78"/>
      <c r="D10" s="79">
        <f>9400000-5000</f>
        <v>9395000</v>
      </c>
      <c r="E10" s="79"/>
      <c r="F10" s="79"/>
      <c r="G10" s="79"/>
      <c r="H10" s="79"/>
      <c r="I10" s="80"/>
      <c r="J10" s="76">
        <f t="shared" si="0"/>
        <v>9395000</v>
      </c>
    </row>
    <row r="11" spans="1:10" ht="25.5">
      <c r="A11" s="69" t="s">
        <v>158</v>
      </c>
      <c r="B11" s="77"/>
      <c r="C11" s="78"/>
      <c r="D11" s="79"/>
      <c r="E11" s="79"/>
      <c r="F11" s="79"/>
      <c r="G11" s="79">
        <v>300000</v>
      </c>
      <c r="H11" s="79"/>
      <c r="I11" s="80"/>
      <c r="J11" s="76">
        <f t="shared" si="0"/>
        <v>300000</v>
      </c>
    </row>
    <row r="12" spans="1:10" ht="25.5">
      <c r="A12" s="69" t="s">
        <v>159</v>
      </c>
      <c r="B12" s="77">
        <v>850000</v>
      </c>
      <c r="C12" s="78">
        <f>1049750</f>
        <v>1049750</v>
      </c>
      <c r="D12" s="79"/>
      <c r="E12" s="79"/>
      <c r="F12" s="79"/>
      <c r="G12" s="79"/>
      <c r="H12" s="79"/>
      <c r="I12" s="80"/>
      <c r="J12" s="76">
        <f t="shared" si="0"/>
        <v>1899750</v>
      </c>
    </row>
    <row r="13" spans="1:10" ht="25.5">
      <c r="A13" s="69" t="s">
        <v>160</v>
      </c>
      <c r="B13" s="77"/>
      <c r="C13" s="78">
        <v>990000</v>
      </c>
      <c r="D13" s="79"/>
      <c r="E13" s="79"/>
      <c r="F13" s="79"/>
      <c r="G13" s="79"/>
      <c r="H13" s="79"/>
      <c r="I13" s="80"/>
      <c r="J13" s="76">
        <f t="shared" si="0"/>
        <v>990000</v>
      </c>
    </row>
    <row r="14" spans="1:10">
      <c r="A14" s="69" t="s">
        <v>161</v>
      </c>
      <c r="B14" s="77"/>
      <c r="C14" s="79"/>
      <c r="D14" s="79"/>
      <c r="E14" s="79">
        <v>43220000</v>
      </c>
      <c r="F14" s="79"/>
      <c r="G14" s="79"/>
      <c r="H14" s="79"/>
      <c r="I14" s="80"/>
      <c r="J14" s="76">
        <f t="shared" si="0"/>
        <v>43220000</v>
      </c>
    </row>
    <row r="15" spans="1:10">
      <c r="A15" s="69" t="s">
        <v>162</v>
      </c>
      <c r="B15" s="77"/>
      <c r="C15" s="79"/>
      <c r="D15" s="79">
        <v>200000</v>
      </c>
      <c r="E15" s="79"/>
      <c r="F15" s="79"/>
      <c r="G15" s="79"/>
      <c r="H15" s="79"/>
      <c r="I15" s="80"/>
      <c r="J15" s="76">
        <f t="shared" si="0"/>
        <v>200000</v>
      </c>
    </row>
    <row r="16" spans="1:10" ht="26.25" thickBot="1">
      <c r="A16" s="81" t="s">
        <v>163</v>
      </c>
      <c r="B16" s="82"/>
      <c r="C16" s="83"/>
      <c r="D16" s="83"/>
      <c r="E16" s="83"/>
      <c r="F16" s="83"/>
      <c r="G16" s="83"/>
      <c r="H16" s="83"/>
      <c r="I16" s="84">
        <v>5000</v>
      </c>
      <c r="J16" s="85">
        <f>SUM(B16:I16)</f>
        <v>5000</v>
      </c>
    </row>
    <row r="17" spans="1:10" ht="26.25" thickBot="1">
      <c r="A17" s="86" t="s">
        <v>14</v>
      </c>
      <c r="B17" s="87">
        <f t="shared" ref="B17" si="1">SUM(B5:B15)</f>
        <v>850000</v>
      </c>
      <c r="C17" s="88">
        <f>SUM(C5:C16)</f>
        <v>2039750</v>
      </c>
      <c r="D17" s="88">
        <f t="shared" ref="D17:J17" si="2">SUM(D5:D16)</f>
        <v>9608000</v>
      </c>
      <c r="E17" s="88">
        <f t="shared" si="2"/>
        <v>52270000</v>
      </c>
      <c r="F17" s="88">
        <f t="shared" si="2"/>
        <v>100000</v>
      </c>
      <c r="G17" s="88">
        <f t="shared" si="2"/>
        <v>300000</v>
      </c>
      <c r="H17" s="88">
        <f t="shared" si="2"/>
        <v>400000</v>
      </c>
      <c r="I17" s="88">
        <f t="shared" si="2"/>
        <v>5000</v>
      </c>
      <c r="J17" s="88">
        <f t="shared" si="2"/>
        <v>65572750</v>
      </c>
    </row>
    <row r="18" spans="1:10" ht="27" customHeight="1" thickBot="1">
      <c r="A18" s="89" t="s">
        <v>139</v>
      </c>
      <c r="B18" s="89"/>
      <c r="C18" s="90"/>
      <c r="D18" s="90"/>
      <c r="E18" s="375">
        <f>SUM(B17:I17)</f>
        <v>65572750</v>
      </c>
      <c r="F18" s="375"/>
      <c r="G18" s="90"/>
      <c r="H18" s="90"/>
      <c r="I18" s="91"/>
      <c r="J18" s="92"/>
    </row>
    <row r="19" spans="1:10">
      <c r="A19" s="93"/>
      <c r="B19" s="93"/>
      <c r="C19" s="94"/>
      <c r="D19" s="94"/>
      <c r="E19" s="95"/>
      <c r="F19" s="96"/>
      <c r="G19" s="96"/>
      <c r="H19" s="97"/>
      <c r="I19" s="96"/>
      <c r="J19" s="96"/>
    </row>
    <row r="20" spans="1:10">
      <c r="A20" s="93"/>
      <c r="B20" s="93"/>
      <c r="C20" s="94"/>
      <c r="D20" s="94"/>
      <c r="E20" s="95"/>
      <c r="F20" s="96"/>
      <c r="G20" s="96"/>
      <c r="H20" s="97"/>
      <c r="I20" s="96"/>
      <c r="J20" s="96"/>
    </row>
    <row r="21" spans="1:10">
      <c r="A21" s="93"/>
      <c r="B21" s="93"/>
      <c r="C21" s="94"/>
      <c r="D21" s="94"/>
      <c r="E21" s="95"/>
      <c r="F21" s="96"/>
      <c r="G21" s="96"/>
      <c r="H21" s="97"/>
      <c r="I21" s="96"/>
      <c r="J21" s="96"/>
    </row>
    <row r="22" spans="1:10">
      <c r="A22" s="93"/>
      <c r="B22" s="93"/>
      <c r="C22" s="94"/>
      <c r="D22" s="94"/>
      <c r="E22" s="95"/>
      <c r="F22" s="96"/>
      <c r="G22" s="172" t="s">
        <v>268</v>
      </c>
      <c r="H22" s="155"/>
      <c r="I22" s="155"/>
      <c r="J22" s="96"/>
    </row>
    <row r="23" spans="1:10" ht="15.75">
      <c r="A23" s="93"/>
      <c r="B23" s="93"/>
      <c r="C23" s="94"/>
      <c r="D23" s="94"/>
      <c r="E23" s="95"/>
      <c r="F23" s="96"/>
      <c r="G23" s="172" t="s">
        <v>269</v>
      </c>
      <c r="H23" s="171"/>
      <c r="I23" s="171"/>
      <c r="J23" s="96"/>
    </row>
    <row r="24" spans="1:10" ht="15.75">
      <c r="A24" s="93"/>
      <c r="B24" s="93"/>
      <c r="C24" s="94"/>
      <c r="D24" s="94"/>
      <c r="E24" s="95"/>
      <c r="F24" s="96"/>
      <c r="G24" s="171"/>
      <c r="H24" s="171"/>
      <c r="I24" s="171"/>
      <c r="J24" s="96"/>
    </row>
    <row r="25" spans="1:10">
      <c r="A25" s="93"/>
      <c r="B25" s="93"/>
      <c r="C25" s="94"/>
      <c r="D25" s="94"/>
      <c r="E25" s="95"/>
      <c r="F25" s="96"/>
      <c r="G25" s="172" t="s">
        <v>270</v>
      </c>
      <c r="H25" s="172"/>
      <c r="I25" s="172"/>
      <c r="J25" s="96"/>
    </row>
    <row r="26" spans="1:10">
      <c r="A26" s="93"/>
      <c r="B26" s="93"/>
      <c r="C26" s="94"/>
      <c r="D26" s="94"/>
      <c r="E26" s="95"/>
      <c r="F26" s="96"/>
      <c r="G26" s="96"/>
      <c r="H26" s="97"/>
      <c r="I26" s="96"/>
      <c r="J26" s="96"/>
    </row>
    <row r="27" spans="1:10">
      <c r="A27" s="93"/>
      <c r="B27" s="93"/>
      <c r="C27" s="94"/>
      <c r="D27" s="94"/>
      <c r="E27" s="95"/>
      <c r="F27" s="96"/>
      <c r="G27" s="96"/>
      <c r="H27" s="97"/>
      <c r="I27" s="96"/>
      <c r="J27" s="96"/>
    </row>
    <row r="28" spans="1:10">
      <c r="A28" s="93"/>
      <c r="B28" s="93"/>
      <c r="C28" s="94"/>
      <c r="D28" s="94"/>
      <c r="E28" s="95"/>
      <c r="F28" s="96"/>
      <c r="G28" s="96"/>
      <c r="H28" s="97"/>
      <c r="I28" s="96"/>
      <c r="J28" s="96"/>
    </row>
    <row r="29" spans="1:10">
      <c r="A29" s="93"/>
      <c r="B29" s="93"/>
      <c r="C29" s="94"/>
      <c r="D29" s="94"/>
      <c r="E29" s="95"/>
      <c r="F29" s="96"/>
      <c r="G29" s="96"/>
      <c r="H29" s="97"/>
      <c r="I29" s="96"/>
      <c r="J29" s="96"/>
    </row>
    <row r="30" spans="1:10">
      <c r="A30" s="93"/>
      <c r="B30" s="93"/>
      <c r="C30" s="94"/>
      <c r="D30" s="94"/>
      <c r="E30" s="95"/>
      <c r="F30" s="96"/>
      <c r="G30" s="96"/>
      <c r="H30" s="97"/>
      <c r="I30" s="96"/>
      <c r="J30" s="96"/>
    </row>
    <row r="31" spans="1:10" ht="13.5" thickBot="1">
      <c r="A31" s="93"/>
      <c r="B31" s="93"/>
      <c r="C31" s="94"/>
      <c r="D31" s="94"/>
      <c r="E31" s="95"/>
      <c r="F31" s="96"/>
      <c r="G31" s="96"/>
      <c r="H31" s="97"/>
      <c r="I31" s="96"/>
      <c r="J31" s="96"/>
    </row>
    <row r="32" spans="1:10" ht="16.5" thickBot="1">
      <c r="A32" s="376" t="s">
        <v>246</v>
      </c>
      <c r="B32" s="377"/>
      <c r="C32" s="377"/>
      <c r="D32" s="377"/>
      <c r="E32" s="377"/>
      <c r="F32" s="377"/>
      <c r="G32" s="377"/>
      <c r="H32" s="378"/>
    </row>
    <row r="33" spans="1:10" ht="13.5" thickBot="1">
      <c r="A33" s="52"/>
      <c r="B33" s="52"/>
      <c r="C33" s="53"/>
      <c r="D33" s="53"/>
      <c r="E33" s="53"/>
      <c r="F33" s="53"/>
      <c r="G33" s="53"/>
      <c r="H33" s="53"/>
      <c r="I33" s="54" t="s">
        <v>150</v>
      </c>
      <c r="J33" s="53"/>
    </row>
    <row r="34" spans="1:10" ht="26.25" thickBot="1">
      <c r="A34" s="55" t="s">
        <v>7</v>
      </c>
      <c r="B34" s="379" t="s">
        <v>247</v>
      </c>
      <c r="C34" s="380"/>
      <c r="D34" s="380"/>
      <c r="E34" s="380"/>
      <c r="F34" s="380"/>
      <c r="G34" s="380"/>
      <c r="H34" s="380"/>
      <c r="I34" s="381"/>
      <c r="J34" s="53"/>
    </row>
    <row r="35" spans="1:10" ht="102.75" thickBot="1">
      <c r="A35" s="176" t="s">
        <v>8</v>
      </c>
      <c r="B35" s="57" t="s">
        <v>259</v>
      </c>
      <c r="C35" s="58" t="s">
        <v>260</v>
      </c>
      <c r="D35" s="59" t="s">
        <v>261</v>
      </c>
      <c r="E35" s="59" t="s">
        <v>262</v>
      </c>
      <c r="F35" s="59" t="s">
        <v>263</v>
      </c>
      <c r="G35" s="59" t="s">
        <v>264</v>
      </c>
      <c r="H35" s="59" t="s">
        <v>265</v>
      </c>
      <c r="I35" s="60" t="s">
        <v>266</v>
      </c>
      <c r="J35" s="61" t="s">
        <v>151</v>
      </c>
    </row>
    <row r="36" spans="1:10" ht="25.5">
      <c r="A36" s="177" t="s">
        <v>152</v>
      </c>
      <c r="B36" s="63"/>
      <c r="C36" s="178"/>
      <c r="D36" s="179"/>
      <c r="E36" s="179"/>
      <c r="F36" s="180">
        <v>100000</v>
      </c>
      <c r="G36" s="179"/>
      <c r="H36" s="179"/>
      <c r="I36" s="181"/>
      <c r="J36" s="182">
        <f t="shared" ref="J36:J46" si="3">SUM(B36:I36)</f>
        <v>100000</v>
      </c>
    </row>
    <row r="37" spans="1:10">
      <c r="A37" s="183" t="s">
        <v>153</v>
      </c>
      <c r="B37" s="70"/>
      <c r="C37" s="71"/>
      <c r="D37" s="72">
        <v>10000</v>
      </c>
      <c r="E37" s="73"/>
      <c r="F37" s="74"/>
      <c r="G37" s="74"/>
      <c r="H37" s="74"/>
      <c r="I37" s="184"/>
      <c r="J37" s="185">
        <f t="shared" si="3"/>
        <v>10000</v>
      </c>
    </row>
    <row r="38" spans="1:10" ht="25.5">
      <c r="A38" s="183" t="s">
        <v>154</v>
      </c>
      <c r="B38" s="70"/>
      <c r="C38" s="71"/>
      <c r="D38" s="72">
        <v>5000</v>
      </c>
      <c r="E38" s="73"/>
      <c r="F38" s="74"/>
      <c r="G38" s="74"/>
      <c r="H38" s="74"/>
      <c r="I38" s="184"/>
      <c r="J38" s="185">
        <f t="shared" si="3"/>
        <v>5000</v>
      </c>
    </row>
    <row r="39" spans="1:10">
      <c r="A39" s="183" t="s">
        <v>155</v>
      </c>
      <c r="B39" s="190"/>
      <c r="C39" s="191"/>
      <c r="D39" s="192"/>
      <c r="E39" s="192">
        <v>9135000</v>
      </c>
      <c r="F39" s="192"/>
      <c r="G39" s="79"/>
      <c r="H39" s="79"/>
      <c r="I39" s="186"/>
      <c r="J39" s="185">
        <f t="shared" si="3"/>
        <v>9135000</v>
      </c>
    </row>
    <row r="40" spans="1:10">
      <c r="A40" s="183" t="s">
        <v>156</v>
      </c>
      <c r="B40" s="190"/>
      <c r="C40" s="191"/>
      <c r="D40" s="192"/>
      <c r="E40" s="192"/>
      <c r="F40" s="192"/>
      <c r="G40" s="79"/>
      <c r="H40" s="79">
        <v>400000</v>
      </c>
      <c r="I40" s="186"/>
      <c r="J40" s="185">
        <f t="shared" si="3"/>
        <v>400000</v>
      </c>
    </row>
    <row r="41" spans="1:10">
      <c r="A41" s="183" t="s">
        <v>157</v>
      </c>
      <c r="B41" s="190"/>
      <c r="C41" s="191"/>
      <c r="D41" s="192">
        <v>12000000</v>
      </c>
      <c r="E41" s="192"/>
      <c r="F41" s="192"/>
      <c r="G41" s="79"/>
      <c r="H41" s="79"/>
      <c r="I41" s="186"/>
      <c r="J41" s="185">
        <f t="shared" si="3"/>
        <v>12000000</v>
      </c>
    </row>
    <row r="42" spans="1:10" ht="25.5">
      <c r="A42" s="183" t="s">
        <v>158</v>
      </c>
      <c r="B42" s="190"/>
      <c r="C42" s="191"/>
      <c r="D42" s="192"/>
      <c r="E42" s="192"/>
      <c r="F42" s="192"/>
      <c r="G42" s="79">
        <v>300000</v>
      </c>
      <c r="H42" s="79"/>
      <c r="I42" s="186"/>
      <c r="J42" s="185">
        <f t="shared" si="3"/>
        <v>300000</v>
      </c>
    </row>
    <row r="43" spans="1:10" ht="25.5">
      <c r="A43" s="183" t="s">
        <v>159</v>
      </c>
      <c r="B43" s="190">
        <v>350000</v>
      </c>
      <c r="C43" s="191">
        <f>1049750+850000</f>
        <v>1899750</v>
      </c>
      <c r="D43" s="192"/>
      <c r="E43" s="192"/>
      <c r="F43" s="192"/>
      <c r="G43" s="79"/>
      <c r="H43" s="79"/>
      <c r="I43" s="186"/>
      <c r="J43" s="185">
        <f t="shared" si="3"/>
        <v>2249750</v>
      </c>
    </row>
    <row r="44" spans="1:10" ht="25.5">
      <c r="A44" s="183" t="s">
        <v>160</v>
      </c>
      <c r="B44" s="190"/>
      <c r="C44" s="191">
        <f>3000000-1049750-850000</f>
        <v>1100250</v>
      </c>
      <c r="D44" s="192"/>
      <c r="E44" s="192"/>
      <c r="F44" s="192"/>
      <c r="G44" s="79"/>
      <c r="H44" s="79"/>
      <c r="I44" s="186"/>
      <c r="J44" s="185">
        <f t="shared" si="3"/>
        <v>1100250</v>
      </c>
    </row>
    <row r="45" spans="1:10">
      <c r="A45" s="183" t="s">
        <v>161</v>
      </c>
      <c r="B45" s="190"/>
      <c r="C45" s="191"/>
      <c r="D45" s="192"/>
      <c r="E45" s="192">
        <v>43500000</v>
      </c>
      <c r="F45" s="192"/>
      <c r="G45" s="79"/>
      <c r="H45" s="79"/>
      <c r="I45" s="186"/>
      <c r="J45" s="185">
        <f t="shared" si="3"/>
        <v>43500000</v>
      </c>
    </row>
    <row r="46" spans="1:10" ht="13.5" thickBot="1">
      <c r="A46" s="183" t="s">
        <v>162</v>
      </c>
      <c r="B46" s="77"/>
      <c r="C46" s="78"/>
      <c r="D46" s="79">
        <v>200000</v>
      </c>
      <c r="E46" s="79"/>
      <c r="F46" s="79"/>
      <c r="G46" s="79"/>
      <c r="H46" s="79"/>
      <c r="I46" s="186"/>
      <c r="J46" s="185">
        <f t="shared" si="3"/>
        <v>200000</v>
      </c>
    </row>
    <row r="47" spans="1:10" ht="26.25" thickBot="1">
      <c r="A47" s="86" t="s">
        <v>14</v>
      </c>
      <c r="B47" s="187">
        <f t="shared" ref="B47:I47" si="4">SUM(B36:B46)</f>
        <v>350000</v>
      </c>
      <c r="C47" s="188">
        <f t="shared" si="4"/>
        <v>3000000</v>
      </c>
      <c r="D47" s="188">
        <f t="shared" si="4"/>
        <v>12215000</v>
      </c>
      <c r="E47" s="188">
        <f t="shared" si="4"/>
        <v>52635000</v>
      </c>
      <c r="F47" s="188">
        <f t="shared" si="4"/>
        <v>100000</v>
      </c>
      <c r="G47" s="188">
        <f t="shared" si="4"/>
        <v>300000</v>
      </c>
      <c r="H47" s="188">
        <f t="shared" si="4"/>
        <v>400000</v>
      </c>
      <c r="I47" s="188">
        <f t="shared" si="4"/>
        <v>0</v>
      </c>
      <c r="J47" s="189">
        <f>SUM(J36:J46)</f>
        <v>69000000</v>
      </c>
    </row>
    <row r="48" spans="1:10" ht="26.25" thickBot="1">
      <c r="A48" s="89" t="s">
        <v>250</v>
      </c>
      <c r="B48" s="89"/>
      <c r="C48" s="90"/>
      <c r="D48" s="90"/>
      <c r="E48" s="375">
        <f>SUM(B47:I47)</f>
        <v>69000000</v>
      </c>
      <c r="F48" s="375"/>
      <c r="G48" s="90"/>
      <c r="H48" s="90"/>
      <c r="I48" s="91"/>
      <c r="J48" s="92"/>
    </row>
    <row r="52" spans="1:9">
      <c r="G52" s="172" t="s">
        <v>268</v>
      </c>
      <c r="H52" s="155"/>
      <c r="I52" s="155"/>
    </row>
    <row r="53" spans="1:9" ht="15.75">
      <c r="G53" s="172" t="s">
        <v>269</v>
      </c>
      <c r="H53" s="171"/>
      <c r="I53" s="171"/>
    </row>
    <row r="54" spans="1:9" ht="15.75">
      <c r="G54" s="171"/>
      <c r="H54" s="171"/>
      <c r="I54" s="171"/>
    </row>
    <row r="55" spans="1:9">
      <c r="G55" s="172" t="s">
        <v>270</v>
      </c>
      <c r="H55" s="172"/>
      <c r="I55" s="172"/>
    </row>
    <row r="63" spans="1:9" ht="13.5" thickBot="1"/>
    <row r="64" spans="1:9" ht="16.5" thickBot="1">
      <c r="A64" s="376" t="s">
        <v>248</v>
      </c>
      <c r="B64" s="377"/>
      <c r="C64" s="377"/>
      <c r="D64" s="377"/>
      <c r="E64" s="377"/>
      <c r="F64" s="377"/>
      <c r="G64" s="377"/>
      <c r="H64" s="378"/>
    </row>
    <row r="65" spans="1:10" ht="13.5" thickBot="1">
      <c r="A65" s="52"/>
      <c r="B65" s="52"/>
      <c r="C65" s="53"/>
      <c r="D65" s="53"/>
      <c r="E65" s="53"/>
      <c r="F65" s="53"/>
      <c r="G65" s="53"/>
      <c r="H65" s="53"/>
      <c r="I65" s="54" t="s">
        <v>150</v>
      </c>
      <c r="J65" s="53"/>
    </row>
    <row r="66" spans="1:10" ht="26.25" thickBot="1">
      <c r="A66" s="55" t="s">
        <v>7</v>
      </c>
      <c r="B66" s="379" t="s">
        <v>249</v>
      </c>
      <c r="C66" s="380"/>
      <c r="D66" s="380"/>
      <c r="E66" s="380"/>
      <c r="F66" s="380"/>
      <c r="G66" s="380"/>
      <c r="H66" s="380"/>
      <c r="I66" s="381"/>
      <c r="J66" s="53"/>
    </row>
    <row r="67" spans="1:10" ht="102.75" thickBot="1">
      <c r="A67" s="176" t="s">
        <v>8</v>
      </c>
      <c r="B67" s="57" t="s">
        <v>259</v>
      </c>
      <c r="C67" s="58" t="s">
        <v>260</v>
      </c>
      <c r="D67" s="59" t="s">
        <v>261</v>
      </c>
      <c r="E67" s="59" t="s">
        <v>262</v>
      </c>
      <c r="F67" s="59" t="s">
        <v>263</v>
      </c>
      <c r="G67" s="59" t="s">
        <v>264</v>
      </c>
      <c r="H67" s="59" t="s">
        <v>265</v>
      </c>
      <c r="I67" s="60" t="s">
        <v>266</v>
      </c>
      <c r="J67" s="61" t="s">
        <v>151</v>
      </c>
    </row>
    <row r="68" spans="1:10" ht="25.5">
      <c r="A68" s="177" t="s">
        <v>152</v>
      </c>
      <c r="B68" s="63"/>
      <c r="C68" s="178"/>
      <c r="D68" s="179"/>
      <c r="E68" s="179"/>
      <c r="F68" s="180">
        <v>100000</v>
      </c>
      <c r="G68" s="179"/>
      <c r="H68" s="179"/>
      <c r="I68" s="181"/>
      <c r="J68" s="182">
        <f t="shared" ref="J68:J78" si="5">SUM(B68:I68)</f>
        <v>100000</v>
      </c>
    </row>
    <row r="69" spans="1:10">
      <c r="A69" s="183" t="s">
        <v>153</v>
      </c>
      <c r="B69" s="70"/>
      <c r="C69" s="71"/>
      <c r="D69" s="72">
        <v>10000</v>
      </c>
      <c r="E69" s="73"/>
      <c r="F69" s="74"/>
      <c r="G69" s="74"/>
      <c r="H69" s="74"/>
      <c r="I69" s="184"/>
      <c r="J69" s="185">
        <f t="shared" si="5"/>
        <v>10000</v>
      </c>
    </row>
    <row r="70" spans="1:10" ht="25.5">
      <c r="A70" s="183" t="s">
        <v>154</v>
      </c>
      <c r="B70" s="70"/>
      <c r="C70" s="71"/>
      <c r="D70" s="72">
        <v>5000</v>
      </c>
      <c r="E70" s="73"/>
      <c r="F70" s="74"/>
      <c r="G70" s="74"/>
      <c r="H70" s="74"/>
      <c r="I70" s="184"/>
      <c r="J70" s="185">
        <f t="shared" si="5"/>
        <v>5000</v>
      </c>
    </row>
    <row r="71" spans="1:10">
      <c r="A71" s="183" t="s">
        <v>155</v>
      </c>
      <c r="B71" s="190"/>
      <c r="C71" s="191"/>
      <c r="D71" s="192"/>
      <c r="E71" s="192">
        <v>9270000</v>
      </c>
      <c r="F71" s="192"/>
      <c r="G71" s="79"/>
      <c r="H71" s="79"/>
      <c r="I71" s="186"/>
      <c r="J71" s="185">
        <f t="shared" si="5"/>
        <v>9270000</v>
      </c>
    </row>
    <row r="72" spans="1:10">
      <c r="A72" s="183" t="s">
        <v>156</v>
      </c>
      <c r="B72" s="190"/>
      <c r="C72" s="191"/>
      <c r="D72" s="192"/>
      <c r="E72" s="192"/>
      <c r="F72" s="192"/>
      <c r="G72" s="79"/>
      <c r="H72" s="79">
        <v>400000</v>
      </c>
      <c r="I72" s="186"/>
      <c r="J72" s="185">
        <f t="shared" si="5"/>
        <v>400000</v>
      </c>
    </row>
    <row r="73" spans="1:10">
      <c r="A73" s="183" t="s">
        <v>157</v>
      </c>
      <c r="B73" s="190"/>
      <c r="C73" s="191"/>
      <c r="D73" s="192">
        <v>14400000</v>
      </c>
      <c r="E73" s="192"/>
      <c r="F73" s="192"/>
      <c r="G73" s="79"/>
      <c r="H73" s="79"/>
      <c r="I73" s="186"/>
      <c r="J73" s="185">
        <f t="shared" si="5"/>
        <v>14400000</v>
      </c>
    </row>
    <row r="74" spans="1:10" ht="25.5">
      <c r="A74" s="183" t="s">
        <v>158</v>
      </c>
      <c r="B74" s="190"/>
      <c r="C74" s="191"/>
      <c r="D74" s="192"/>
      <c r="E74" s="192"/>
      <c r="F74" s="192"/>
      <c r="G74" s="79">
        <v>300000</v>
      </c>
      <c r="H74" s="79"/>
      <c r="I74" s="186"/>
      <c r="J74" s="185">
        <f t="shared" si="5"/>
        <v>300000</v>
      </c>
    </row>
    <row r="75" spans="1:10" ht="25.5">
      <c r="A75" s="183" t="s">
        <v>159</v>
      </c>
      <c r="B75" s="190">
        <v>350000</v>
      </c>
      <c r="C75" s="191">
        <v>1049750</v>
      </c>
      <c r="D75" s="192"/>
      <c r="E75" s="192"/>
      <c r="F75" s="192"/>
      <c r="G75" s="79"/>
      <c r="H75" s="79"/>
      <c r="I75" s="186"/>
      <c r="J75" s="185">
        <f t="shared" si="5"/>
        <v>1399750</v>
      </c>
    </row>
    <row r="76" spans="1:10" ht="25.5">
      <c r="A76" s="183" t="s">
        <v>160</v>
      </c>
      <c r="B76" s="190"/>
      <c r="C76" s="191">
        <v>1950250</v>
      </c>
      <c r="D76" s="192"/>
      <c r="E76" s="192"/>
      <c r="F76" s="192"/>
      <c r="G76" s="79"/>
      <c r="H76" s="79"/>
      <c r="I76" s="186"/>
      <c r="J76" s="185">
        <f t="shared" si="5"/>
        <v>1950250</v>
      </c>
    </row>
    <row r="77" spans="1:10">
      <c r="A77" s="183" t="s">
        <v>161</v>
      </c>
      <c r="B77" s="190"/>
      <c r="C77" s="191"/>
      <c r="D77" s="192"/>
      <c r="E77" s="192">
        <v>44100000</v>
      </c>
      <c r="F77" s="192"/>
      <c r="G77" s="79"/>
      <c r="H77" s="79"/>
      <c r="I77" s="186"/>
      <c r="J77" s="185">
        <f t="shared" si="5"/>
        <v>44100000</v>
      </c>
    </row>
    <row r="78" spans="1:10" ht="13.5" thickBot="1">
      <c r="A78" s="183" t="s">
        <v>162</v>
      </c>
      <c r="B78" s="77"/>
      <c r="C78" s="78"/>
      <c r="D78" s="79">
        <v>200000</v>
      </c>
      <c r="E78" s="79"/>
      <c r="F78" s="79"/>
      <c r="G78" s="79"/>
      <c r="H78" s="79"/>
      <c r="I78" s="186"/>
      <c r="J78" s="185">
        <f t="shared" si="5"/>
        <v>200000</v>
      </c>
    </row>
    <row r="79" spans="1:10" ht="26.25" thickBot="1">
      <c r="A79" s="86" t="s">
        <v>14</v>
      </c>
      <c r="B79" s="187">
        <f t="shared" ref="B79:I79" si="6">SUM(B68:B78)</f>
        <v>350000</v>
      </c>
      <c r="C79" s="188">
        <f t="shared" si="6"/>
        <v>3000000</v>
      </c>
      <c r="D79" s="188">
        <f t="shared" si="6"/>
        <v>14615000</v>
      </c>
      <c r="E79" s="188">
        <f t="shared" si="6"/>
        <v>53370000</v>
      </c>
      <c r="F79" s="188">
        <f t="shared" si="6"/>
        <v>100000</v>
      </c>
      <c r="G79" s="188">
        <f t="shared" si="6"/>
        <v>300000</v>
      </c>
      <c r="H79" s="188">
        <f t="shared" si="6"/>
        <v>400000</v>
      </c>
      <c r="I79" s="188">
        <f t="shared" si="6"/>
        <v>0</v>
      </c>
      <c r="J79" s="189">
        <f>SUM(J68:J78)</f>
        <v>72135000</v>
      </c>
    </row>
    <row r="80" spans="1:10" ht="26.25" thickBot="1">
      <c r="A80" s="89" t="s">
        <v>251</v>
      </c>
      <c r="B80" s="89"/>
      <c r="C80" s="90"/>
      <c r="D80" s="90"/>
      <c r="E80" s="375">
        <f>SUM(B79:I79)</f>
        <v>72135000</v>
      </c>
      <c r="F80" s="375"/>
      <c r="G80" s="90"/>
      <c r="H80" s="90"/>
      <c r="I80" s="91"/>
      <c r="J80" s="92"/>
    </row>
    <row r="84" spans="7:9">
      <c r="G84" s="172" t="s">
        <v>268</v>
      </c>
      <c r="H84" s="155"/>
      <c r="I84" s="155"/>
    </row>
    <row r="85" spans="7:9" ht="15.75">
      <c r="G85" s="172" t="s">
        <v>269</v>
      </c>
      <c r="H85" s="171"/>
      <c r="I85" s="171"/>
    </row>
    <row r="86" spans="7:9" ht="15.75">
      <c r="G86" s="171"/>
      <c r="H86" s="171"/>
      <c r="I86" s="171"/>
    </row>
    <row r="87" spans="7:9">
      <c r="G87" s="172" t="s">
        <v>270</v>
      </c>
      <c r="H87" s="172"/>
      <c r="I87" s="172"/>
    </row>
  </sheetData>
  <mergeCells count="9">
    <mergeCell ref="E48:F48"/>
    <mergeCell ref="A64:H64"/>
    <mergeCell ref="B66:I66"/>
    <mergeCell ref="E80:F80"/>
    <mergeCell ref="A1:H1"/>
    <mergeCell ref="B3:I3"/>
    <mergeCell ref="E18:F18"/>
    <mergeCell ref="A32:H32"/>
    <mergeCell ref="B34:I34"/>
  </mergeCells>
  <pageMargins left="0.11811023622047245" right="0.11811023622047245" top="0.15748031496062992" bottom="0.15748031496062992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O332"/>
  <sheetViews>
    <sheetView tabSelected="1" topLeftCell="A109" workbookViewId="0">
      <selection activeCell="D131" sqref="D131"/>
    </sheetView>
  </sheetViews>
  <sheetFormatPr defaultColWidth="11.42578125" defaultRowHeight="12.75"/>
  <cols>
    <col min="1" max="1" width="8.85546875" style="173" bestFit="1" customWidth="1"/>
    <col min="2" max="2" width="40.5703125" style="174" customWidth="1"/>
    <col min="3" max="3" width="15.42578125" style="175" bestFit="1" customWidth="1"/>
    <col min="4" max="5" width="11.7109375" style="175" bestFit="1" customWidth="1"/>
    <col min="6" max="6" width="12.42578125" style="175" bestFit="1" customWidth="1"/>
    <col min="7" max="7" width="15.42578125" style="175" bestFit="1" customWidth="1"/>
    <col min="8" max="9" width="10.7109375" style="175" bestFit="1" customWidth="1"/>
    <col min="10" max="10" width="15.7109375" style="175" bestFit="1" customWidth="1"/>
    <col min="11" max="11" width="15.28515625" style="175" bestFit="1" customWidth="1"/>
    <col min="12" max="12" width="13.85546875" style="175" bestFit="1" customWidth="1"/>
    <col min="13" max="13" width="15.42578125" style="175" bestFit="1" customWidth="1"/>
    <col min="14" max="14" width="14.5703125" style="175" bestFit="1" customWidth="1"/>
    <col min="15" max="15" width="11.7109375" style="100" bestFit="1" customWidth="1"/>
    <col min="16" max="16384" width="11.42578125" style="100"/>
  </cols>
  <sheetData>
    <row r="1" spans="1:14" ht="24" customHeight="1" thickBot="1">
      <c r="A1" s="382" t="s">
        <v>164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1:14" s="106" customFormat="1" ht="57" thickBot="1">
      <c r="A2" s="101" t="s">
        <v>15</v>
      </c>
      <c r="B2" s="102" t="s">
        <v>16</v>
      </c>
      <c r="C2" s="103" t="s">
        <v>147</v>
      </c>
      <c r="D2" s="383" t="s">
        <v>9</v>
      </c>
      <c r="E2" s="384"/>
      <c r="F2" s="104" t="s">
        <v>10</v>
      </c>
      <c r="G2" s="104" t="s">
        <v>11</v>
      </c>
      <c r="H2" s="104" t="s">
        <v>12</v>
      </c>
      <c r="I2" s="105" t="s">
        <v>17</v>
      </c>
      <c r="J2" s="104" t="s">
        <v>165</v>
      </c>
      <c r="K2" s="105" t="s">
        <v>13</v>
      </c>
      <c r="L2" s="104" t="s">
        <v>166</v>
      </c>
      <c r="M2" s="105" t="s">
        <v>167</v>
      </c>
      <c r="N2" s="104" t="s">
        <v>168</v>
      </c>
    </row>
    <row r="3" spans="1:14" ht="13.5" thickBot="1">
      <c r="A3" s="107"/>
      <c r="B3" s="108"/>
      <c r="C3" s="109"/>
      <c r="D3" s="110">
        <v>90</v>
      </c>
      <c r="E3" s="111">
        <v>30</v>
      </c>
      <c r="F3" s="112">
        <v>20</v>
      </c>
      <c r="G3" s="112">
        <v>10</v>
      </c>
      <c r="H3" s="112">
        <v>40</v>
      </c>
      <c r="I3" s="113">
        <v>50</v>
      </c>
      <c r="J3" s="112">
        <v>60</v>
      </c>
      <c r="K3" s="113">
        <v>70</v>
      </c>
      <c r="L3" s="112">
        <v>80</v>
      </c>
      <c r="M3" s="113">
        <v>81</v>
      </c>
      <c r="N3" s="112">
        <v>82</v>
      </c>
    </row>
    <row r="4" spans="1:14" ht="13.5" thickBot="1">
      <c r="A4" s="107"/>
      <c r="B4" s="108"/>
      <c r="C4" s="109"/>
      <c r="D4" s="110" t="s">
        <v>169</v>
      </c>
      <c r="E4" s="111" t="s">
        <v>170</v>
      </c>
      <c r="F4" s="112">
        <v>3211</v>
      </c>
      <c r="G4" s="112" t="s">
        <v>171</v>
      </c>
      <c r="H4" s="112">
        <v>5211</v>
      </c>
      <c r="I4" s="113">
        <v>6211</v>
      </c>
      <c r="J4" s="112">
        <v>7311</v>
      </c>
      <c r="K4" s="113">
        <v>8311</v>
      </c>
      <c r="L4" s="112">
        <v>383</v>
      </c>
      <c r="M4" s="113">
        <v>483</v>
      </c>
      <c r="N4" s="112">
        <v>582</v>
      </c>
    </row>
    <row r="5" spans="1:14" s="106" customFormat="1" ht="15">
      <c r="A5" s="114"/>
      <c r="B5" s="115" t="s">
        <v>172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ht="15.75">
      <c r="A6" s="117"/>
      <c r="B6" s="118" t="s">
        <v>173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s="106" customFormat="1" ht="25.5">
      <c r="A7" s="200" t="s">
        <v>255</v>
      </c>
      <c r="B7" s="120" t="s">
        <v>174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4" s="125" customFormat="1" ht="25.5">
      <c r="A8" s="122">
        <v>420602</v>
      </c>
      <c r="B8" s="123" t="s">
        <v>175</v>
      </c>
      <c r="C8" s="124">
        <f>SUM(C9:C44)</f>
        <v>51335000</v>
      </c>
      <c r="D8" s="124">
        <f>SUM(D9:D44)</f>
        <v>0</v>
      </c>
      <c r="E8" s="124">
        <f t="shared" ref="E8:N8" si="0">SUM(E9:E44)</f>
        <v>0</v>
      </c>
      <c r="F8" s="124">
        <f t="shared" si="0"/>
        <v>0</v>
      </c>
      <c r="G8" s="124">
        <f t="shared" si="0"/>
        <v>50685000</v>
      </c>
      <c r="H8" s="124">
        <f t="shared" si="0"/>
        <v>100000</v>
      </c>
      <c r="I8" s="124">
        <f t="shared" si="0"/>
        <v>150000</v>
      </c>
      <c r="J8" s="124">
        <f t="shared" si="0"/>
        <v>400000</v>
      </c>
      <c r="K8" s="124">
        <f t="shared" si="0"/>
        <v>0</v>
      </c>
      <c r="L8" s="124">
        <f t="shared" si="0"/>
        <v>0</v>
      </c>
      <c r="M8" s="124">
        <f t="shared" si="0"/>
        <v>0</v>
      </c>
      <c r="N8" s="124">
        <f t="shared" si="0"/>
        <v>0</v>
      </c>
    </row>
    <row r="9" spans="1:14">
      <c r="A9" s="126">
        <v>3111</v>
      </c>
      <c r="B9" s="127" t="s">
        <v>176</v>
      </c>
      <c r="C9" s="119">
        <f>SUM(D9:N9)</f>
        <v>22269200</v>
      </c>
      <c r="D9" s="119"/>
      <c r="E9" s="119"/>
      <c r="F9" s="119"/>
      <c r="G9" s="128">
        <f>23419200-100000-G46</f>
        <v>22169200</v>
      </c>
      <c r="H9" s="129">
        <v>100000</v>
      </c>
      <c r="I9" s="119"/>
      <c r="J9" s="119"/>
      <c r="K9" s="119"/>
      <c r="L9" s="130"/>
      <c r="M9" s="130"/>
      <c r="N9" s="130"/>
    </row>
    <row r="10" spans="1:14">
      <c r="A10" s="126">
        <v>3112</v>
      </c>
      <c r="B10" s="127" t="s">
        <v>177</v>
      </c>
      <c r="C10" s="119">
        <f t="shared" ref="C10:C44" si="1">SUM(D10:N10)</f>
        <v>0</v>
      </c>
      <c r="D10" s="119"/>
      <c r="E10" s="119"/>
      <c r="F10" s="119"/>
      <c r="G10" s="128">
        <v>0</v>
      </c>
      <c r="H10" s="119"/>
      <c r="I10" s="119"/>
      <c r="J10" s="119"/>
      <c r="K10" s="119"/>
      <c r="L10" s="130"/>
      <c r="M10" s="130"/>
      <c r="N10" s="130"/>
    </row>
    <row r="11" spans="1:14">
      <c r="A11" s="126">
        <v>3113</v>
      </c>
      <c r="B11" s="127" t="s">
        <v>178</v>
      </c>
      <c r="C11" s="119">
        <f t="shared" si="1"/>
        <v>810000</v>
      </c>
      <c r="D11" s="119"/>
      <c r="E11" s="119"/>
      <c r="F11" s="119"/>
      <c r="G11" s="128">
        <f>810000</f>
        <v>810000</v>
      </c>
      <c r="H11" s="119"/>
      <c r="I11" s="119"/>
      <c r="J11" s="119"/>
      <c r="K11" s="119"/>
      <c r="L11" s="130"/>
      <c r="M11" s="130"/>
      <c r="N11" s="130"/>
    </row>
    <row r="12" spans="1:14">
      <c r="A12" s="126">
        <v>3114</v>
      </c>
      <c r="B12" s="127" t="s">
        <v>179</v>
      </c>
      <c r="C12" s="119">
        <f t="shared" si="1"/>
        <v>2965000</v>
      </c>
      <c r="D12" s="119"/>
      <c r="E12" s="119"/>
      <c r="F12" s="119"/>
      <c r="G12" s="128">
        <f>3090000-125000</f>
        <v>2965000</v>
      </c>
      <c r="H12" s="119"/>
      <c r="I12" s="119"/>
      <c r="J12" s="119"/>
      <c r="K12" s="119"/>
      <c r="L12" s="131"/>
      <c r="M12" s="131"/>
      <c r="N12" s="131"/>
    </row>
    <row r="13" spans="1:14">
      <c r="A13" s="126">
        <v>3121</v>
      </c>
      <c r="B13" s="127" t="s">
        <v>20</v>
      </c>
      <c r="C13" s="119">
        <f t="shared" si="1"/>
        <v>1250000</v>
      </c>
      <c r="D13" s="119"/>
      <c r="E13" s="119"/>
      <c r="F13" s="119"/>
      <c r="G13" s="128">
        <f>1280000-30000</f>
        <v>1250000</v>
      </c>
      <c r="H13" s="119"/>
      <c r="I13" s="119"/>
      <c r="J13" s="119"/>
      <c r="K13" s="119"/>
      <c r="L13" s="130"/>
      <c r="M13" s="130"/>
      <c r="N13" s="130"/>
    </row>
    <row r="14" spans="1:14">
      <c r="A14" s="126">
        <v>3131</v>
      </c>
      <c r="B14" s="127" t="s">
        <v>180</v>
      </c>
      <c r="C14" s="119">
        <f t="shared" si="1"/>
        <v>0</v>
      </c>
      <c r="D14" s="119"/>
      <c r="E14" s="119"/>
      <c r="F14" s="119"/>
      <c r="G14" s="128">
        <v>0</v>
      </c>
      <c r="H14" s="119"/>
      <c r="I14" s="119"/>
      <c r="J14" s="119"/>
      <c r="K14" s="119"/>
      <c r="L14" s="130"/>
      <c r="M14" s="130"/>
      <c r="N14" s="130"/>
    </row>
    <row r="15" spans="1:14">
      <c r="A15" s="126">
        <v>3132</v>
      </c>
      <c r="B15" s="127" t="s">
        <v>181</v>
      </c>
      <c r="C15" s="119">
        <f t="shared" si="1"/>
        <v>4321055</v>
      </c>
      <c r="D15" s="119"/>
      <c r="E15" s="119"/>
      <c r="F15" s="119"/>
      <c r="G15" s="128">
        <f>4531055-210000</f>
        <v>4321055</v>
      </c>
      <c r="H15" s="119"/>
      <c r="I15" s="119"/>
      <c r="J15" s="119"/>
      <c r="K15" s="119"/>
      <c r="L15" s="130"/>
      <c r="M15" s="130"/>
      <c r="N15" s="130"/>
    </row>
    <row r="16" spans="1:14" ht="25.5">
      <c r="A16" s="126">
        <v>3133</v>
      </c>
      <c r="B16" s="127" t="s">
        <v>182</v>
      </c>
      <c r="C16" s="119">
        <f t="shared" si="1"/>
        <v>0</v>
      </c>
      <c r="D16" s="119"/>
      <c r="E16" s="119"/>
      <c r="F16" s="119"/>
      <c r="G16" s="128">
        <v>0</v>
      </c>
      <c r="H16" s="119"/>
      <c r="I16" s="128"/>
      <c r="J16" s="119"/>
      <c r="K16" s="119"/>
      <c r="L16" s="130"/>
      <c r="M16" s="130"/>
      <c r="N16" s="130"/>
    </row>
    <row r="17" spans="1:14">
      <c r="A17" s="126">
        <v>3211</v>
      </c>
      <c r="B17" s="127" t="s">
        <v>183</v>
      </c>
      <c r="C17" s="119">
        <f t="shared" si="1"/>
        <v>58000</v>
      </c>
      <c r="D17" s="119"/>
      <c r="E17" s="119"/>
      <c r="F17" s="119"/>
      <c r="G17" s="132">
        <f>58000-10000</f>
        <v>48000</v>
      </c>
      <c r="H17" s="119"/>
      <c r="I17" s="128">
        <v>10000</v>
      </c>
      <c r="J17" s="119"/>
      <c r="K17" s="119"/>
      <c r="L17" s="130"/>
      <c r="M17" s="130"/>
      <c r="N17" s="130"/>
    </row>
    <row r="18" spans="1:14" ht="25.5">
      <c r="A18" s="126">
        <v>3212</v>
      </c>
      <c r="B18" s="127" t="s">
        <v>184</v>
      </c>
      <c r="C18" s="119">
        <f t="shared" si="1"/>
        <v>696000</v>
      </c>
      <c r="D18" s="119"/>
      <c r="E18" s="119"/>
      <c r="F18" s="119"/>
      <c r="G18" s="128">
        <f>766000-70000</f>
        <v>696000</v>
      </c>
      <c r="H18" s="119"/>
      <c r="I18" s="128"/>
      <c r="J18" s="119"/>
      <c r="K18" s="119"/>
      <c r="L18" s="130"/>
      <c r="M18" s="130"/>
      <c r="N18" s="130"/>
    </row>
    <row r="19" spans="1:14">
      <c r="A19" s="126">
        <v>3213</v>
      </c>
      <c r="B19" s="127" t="s">
        <v>185</v>
      </c>
      <c r="C19" s="119">
        <f t="shared" si="1"/>
        <v>114000</v>
      </c>
      <c r="D19" s="119"/>
      <c r="E19" s="119"/>
      <c r="F19" s="119"/>
      <c r="G19" s="132">
        <f>114000-10000</f>
        <v>104000</v>
      </c>
      <c r="H19" s="119"/>
      <c r="I19" s="128">
        <v>10000</v>
      </c>
      <c r="J19" s="119"/>
      <c r="K19" s="119"/>
      <c r="L19" s="130"/>
      <c r="M19" s="130"/>
      <c r="N19" s="130"/>
    </row>
    <row r="20" spans="1:14">
      <c r="A20" s="126">
        <v>3214</v>
      </c>
      <c r="B20" s="127" t="s">
        <v>186</v>
      </c>
      <c r="C20" s="119">
        <f t="shared" si="1"/>
        <v>5000</v>
      </c>
      <c r="D20" s="119"/>
      <c r="E20" s="119"/>
      <c r="F20" s="119"/>
      <c r="G20" s="128">
        <f>5000</f>
        <v>5000</v>
      </c>
      <c r="H20" s="119"/>
      <c r="I20" s="128"/>
      <c r="J20" s="119"/>
      <c r="K20" s="119"/>
      <c r="L20" s="130"/>
      <c r="M20" s="130"/>
      <c r="N20" s="130"/>
    </row>
    <row r="21" spans="1:14">
      <c r="A21" s="126">
        <v>3221</v>
      </c>
      <c r="B21" s="127" t="s">
        <v>187</v>
      </c>
      <c r="C21" s="119">
        <f t="shared" si="1"/>
        <v>540000</v>
      </c>
      <c r="D21" s="119"/>
      <c r="E21" s="119"/>
      <c r="F21" s="119"/>
      <c r="G21" s="128">
        <v>540000</v>
      </c>
      <c r="H21" s="119"/>
      <c r="I21" s="128"/>
      <c r="J21" s="119"/>
      <c r="K21" s="119"/>
      <c r="L21" s="130"/>
      <c r="M21" s="130"/>
      <c r="N21" s="130"/>
    </row>
    <row r="22" spans="1:14">
      <c r="A22" s="126">
        <v>3222</v>
      </c>
      <c r="B22" s="127" t="s">
        <v>188</v>
      </c>
      <c r="C22" s="119">
        <f t="shared" si="1"/>
        <v>12142749</v>
      </c>
      <c r="D22" s="119"/>
      <c r="E22" s="119"/>
      <c r="F22" s="119"/>
      <c r="G22" s="132">
        <f>12642749-130000-300000-500000</f>
        <v>11712749</v>
      </c>
      <c r="H22" s="119"/>
      <c r="I22" s="128">
        <v>130000</v>
      </c>
      <c r="J22" s="119">
        <v>300000</v>
      </c>
      <c r="K22" s="119"/>
      <c r="L22" s="130"/>
      <c r="M22" s="130"/>
      <c r="N22" s="130"/>
    </row>
    <row r="23" spans="1:14">
      <c r="A23" s="126">
        <v>3223</v>
      </c>
      <c r="B23" s="127" t="s">
        <v>189</v>
      </c>
      <c r="C23" s="119">
        <f t="shared" si="1"/>
        <v>1560000</v>
      </c>
      <c r="D23" s="119"/>
      <c r="E23" s="119"/>
      <c r="F23" s="119"/>
      <c r="G23" s="128">
        <f>1560000</f>
        <v>1560000</v>
      </c>
      <c r="H23" s="119"/>
      <c r="I23" s="128"/>
      <c r="J23" s="119"/>
      <c r="K23" s="119"/>
      <c r="L23" s="130"/>
      <c r="M23" s="130"/>
      <c r="N23" s="130"/>
    </row>
    <row r="24" spans="1:14" ht="25.5">
      <c r="A24" s="126">
        <v>3224</v>
      </c>
      <c r="B24" s="127" t="s">
        <v>190</v>
      </c>
      <c r="C24" s="119">
        <f t="shared" si="1"/>
        <v>240000</v>
      </c>
      <c r="D24" s="119"/>
      <c r="E24" s="119"/>
      <c r="F24" s="119"/>
      <c r="G24" s="128">
        <v>240000</v>
      </c>
      <c r="H24" s="119"/>
      <c r="I24" s="119"/>
      <c r="J24" s="119"/>
      <c r="K24" s="119"/>
      <c r="L24" s="130"/>
      <c r="M24" s="130"/>
      <c r="N24" s="130"/>
    </row>
    <row r="25" spans="1:14">
      <c r="A25" s="126">
        <v>3225</v>
      </c>
      <c r="B25" s="127" t="s">
        <v>191</v>
      </c>
      <c r="C25" s="119">
        <f t="shared" si="1"/>
        <v>148000</v>
      </c>
      <c r="D25" s="119"/>
      <c r="E25" s="119"/>
      <c r="F25" s="119"/>
      <c r="G25" s="128">
        <f>148000</f>
        <v>148000</v>
      </c>
      <c r="H25" s="119"/>
      <c r="I25" s="119"/>
      <c r="J25" s="119"/>
      <c r="K25" s="119"/>
      <c r="L25" s="130"/>
      <c r="M25" s="130"/>
      <c r="N25" s="130"/>
    </row>
    <row r="26" spans="1:14">
      <c r="A26" s="126">
        <v>3227</v>
      </c>
      <c r="B26" s="127" t="s">
        <v>192</v>
      </c>
      <c r="C26" s="119">
        <f t="shared" si="1"/>
        <v>100000</v>
      </c>
      <c r="D26" s="119"/>
      <c r="E26" s="119"/>
      <c r="F26" s="119"/>
      <c r="G26" s="128">
        <v>100000</v>
      </c>
      <c r="H26" s="119"/>
      <c r="I26" s="119"/>
      <c r="J26" s="119"/>
      <c r="K26" s="119"/>
      <c r="L26" s="130"/>
      <c r="M26" s="130"/>
      <c r="N26" s="130"/>
    </row>
    <row r="27" spans="1:14">
      <c r="A27" s="126">
        <v>3231</v>
      </c>
      <c r="B27" s="127" t="s">
        <v>193</v>
      </c>
      <c r="C27" s="119">
        <f t="shared" si="1"/>
        <v>178000</v>
      </c>
      <c r="D27" s="119"/>
      <c r="E27" s="119"/>
      <c r="F27" s="119"/>
      <c r="G27" s="128">
        <v>178000</v>
      </c>
      <c r="H27" s="119"/>
      <c r="I27" s="119"/>
      <c r="J27" s="128"/>
      <c r="K27" s="119"/>
      <c r="L27" s="130"/>
      <c r="M27" s="130"/>
      <c r="N27" s="130"/>
    </row>
    <row r="28" spans="1:14">
      <c r="A28" s="126">
        <v>3232</v>
      </c>
      <c r="B28" s="127" t="s">
        <v>194</v>
      </c>
      <c r="C28" s="119">
        <f t="shared" si="1"/>
        <v>1103996</v>
      </c>
      <c r="D28" s="119"/>
      <c r="E28" s="119"/>
      <c r="F28" s="119"/>
      <c r="G28" s="132">
        <f>1879300-100000-775304</f>
        <v>1003996</v>
      </c>
      <c r="H28" s="119"/>
      <c r="I28" s="119"/>
      <c r="J28" s="128">
        <v>100000</v>
      </c>
      <c r="K28" s="119"/>
      <c r="L28" s="130"/>
      <c r="M28" s="130"/>
      <c r="N28" s="130"/>
    </row>
    <row r="29" spans="1:14" ht="15.75" customHeight="1">
      <c r="A29" s="126">
        <v>3233</v>
      </c>
      <c r="B29" s="127" t="s">
        <v>195</v>
      </c>
      <c r="C29" s="119">
        <f t="shared" si="1"/>
        <v>120000</v>
      </c>
      <c r="D29" s="119"/>
      <c r="E29" s="119"/>
      <c r="F29" s="119"/>
      <c r="G29" s="128">
        <v>120000</v>
      </c>
      <c r="H29" s="119"/>
      <c r="I29" s="119"/>
      <c r="J29" s="128"/>
      <c r="K29" s="119"/>
      <c r="L29" s="133"/>
      <c r="M29" s="133"/>
      <c r="N29" s="133"/>
    </row>
    <row r="30" spans="1:14">
      <c r="A30" s="126">
        <v>3234</v>
      </c>
      <c r="B30" s="127" t="s">
        <v>196</v>
      </c>
      <c r="C30" s="119">
        <f t="shared" si="1"/>
        <v>615000</v>
      </c>
      <c r="D30" s="119"/>
      <c r="E30" s="119"/>
      <c r="F30" s="119"/>
      <c r="G30" s="128">
        <v>615000</v>
      </c>
      <c r="H30" s="119"/>
      <c r="I30" s="119"/>
      <c r="J30" s="128"/>
      <c r="K30" s="119"/>
      <c r="L30" s="119"/>
      <c r="M30" s="119"/>
      <c r="N30" s="119"/>
    </row>
    <row r="31" spans="1:14">
      <c r="A31" s="126">
        <v>3235</v>
      </c>
      <c r="B31" s="127" t="s">
        <v>197</v>
      </c>
      <c r="C31" s="119">
        <f t="shared" si="1"/>
        <v>475000</v>
      </c>
      <c r="D31" s="119"/>
      <c r="E31" s="119"/>
      <c r="F31" s="119"/>
      <c r="G31" s="128">
        <f>475000-M31</f>
        <v>475000</v>
      </c>
      <c r="H31" s="119"/>
      <c r="I31" s="119"/>
      <c r="J31" s="128"/>
      <c r="K31" s="119"/>
      <c r="L31" s="129"/>
      <c r="M31" s="129"/>
      <c r="N31" s="129"/>
    </row>
    <row r="32" spans="1:14">
      <c r="A32" s="126">
        <v>3236</v>
      </c>
      <c r="B32" s="127" t="s">
        <v>198</v>
      </c>
      <c r="C32" s="119">
        <f t="shared" si="1"/>
        <v>312000</v>
      </c>
      <c r="D32" s="119"/>
      <c r="E32" s="119"/>
      <c r="F32" s="119"/>
      <c r="G32" s="128">
        <f>312000</f>
        <v>312000</v>
      </c>
      <c r="H32" s="119"/>
      <c r="I32" s="119"/>
      <c r="J32" s="128"/>
      <c r="K32" s="119"/>
      <c r="L32" s="129"/>
      <c r="M32" s="129"/>
      <c r="N32" s="129"/>
    </row>
    <row r="33" spans="1:14">
      <c r="A33" s="126">
        <v>3237</v>
      </c>
      <c r="B33" s="127" t="s">
        <v>199</v>
      </c>
      <c r="C33" s="119">
        <f t="shared" si="1"/>
        <v>405000</v>
      </c>
      <c r="D33" s="119"/>
      <c r="E33" s="119"/>
      <c r="F33" s="119"/>
      <c r="G33" s="128">
        <f>405000-M33</f>
        <v>405000</v>
      </c>
      <c r="H33" s="119"/>
      <c r="I33" s="119"/>
      <c r="J33" s="128"/>
      <c r="K33" s="119"/>
      <c r="L33" s="129"/>
      <c r="M33" s="129"/>
      <c r="N33" s="129"/>
    </row>
    <row r="34" spans="1:14">
      <c r="A34" s="126">
        <v>3238</v>
      </c>
      <c r="B34" s="127" t="s">
        <v>200</v>
      </c>
      <c r="C34" s="119">
        <f t="shared" si="1"/>
        <v>376000</v>
      </c>
      <c r="D34" s="119"/>
      <c r="E34" s="119"/>
      <c r="F34" s="119"/>
      <c r="G34" s="128">
        <f>376000-M34</f>
        <v>376000</v>
      </c>
      <c r="H34" s="119"/>
      <c r="I34" s="119"/>
      <c r="J34" s="128"/>
      <c r="K34" s="119"/>
      <c r="L34" s="134"/>
      <c r="M34" s="134"/>
      <c r="N34" s="134"/>
    </row>
    <row r="35" spans="1:14">
      <c r="A35" s="126">
        <v>3239</v>
      </c>
      <c r="B35" s="127" t="s">
        <v>201</v>
      </c>
      <c r="C35" s="119">
        <f t="shared" si="1"/>
        <v>110000</v>
      </c>
      <c r="D35" s="119"/>
      <c r="E35" s="119"/>
      <c r="F35" s="119"/>
      <c r="G35" s="128">
        <f>110000</f>
        <v>110000</v>
      </c>
      <c r="H35" s="119"/>
      <c r="I35" s="119"/>
      <c r="J35" s="128"/>
      <c r="K35" s="119"/>
      <c r="L35" s="129"/>
      <c r="M35" s="129"/>
      <c r="N35" s="129"/>
    </row>
    <row r="36" spans="1:14">
      <c r="A36" s="126">
        <v>3241</v>
      </c>
      <c r="B36" s="127" t="s">
        <v>202</v>
      </c>
      <c r="C36" s="119">
        <f t="shared" si="1"/>
        <v>36000</v>
      </c>
      <c r="D36" s="119"/>
      <c r="E36" s="119"/>
      <c r="F36" s="119"/>
      <c r="G36" s="128">
        <v>36000</v>
      </c>
      <c r="H36" s="135"/>
      <c r="I36" s="119"/>
      <c r="J36" s="128"/>
      <c r="K36" s="119"/>
      <c r="L36" s="119"/>
      <c r="M36" s="119"/>
      <c r="N36" s="119"/>
    </row>
    <row r="37" spans="1:14">
      <c r="A37" s="126">
        <v>3291</v>
      </c>
      <c r="B37" s="127" t="s">
        <v>203</v>
      </c>
      <c r="C37" s="119">
        <f t="shared" si="1"/>
        <v>54000</v>
      </c>
      <c r="D37" s="119"/>
      <c r="E37" s="119"/>
      <c r="F37" s="119"/>
      <c r="G37" s="128">
        <v>54000</v>
      </c>
      <c r="H37" s="119"/>
      <c r="I37" s="119"/>
      <c r="J37" s="128"/>
      <c r="K37" s="119"/>
      <c r="L37" s="119"/>
      <c r="M37" s="119"/>
      <c r="N37" s="119"/>
    </row>
    <row r="38" spans="1:14">
      <c r="A38" s="126">
        <v>3292</v>
      </c>
      <c r="B38" s="127" t="s">
        <v>204</v>
      </c>
      <c r="C38" s="119">
        <f t="shared" si="1"/>
        <v>176000</v>
      </c>
      <c r="D38" s="119"/>
      <c r="E38" s="119"/>
      <c r="F38" s="119"/>
      <c r="G38" s="128">
        <v>176000</v>
      </c>
      <c r="H38" s="119"/>
      <c r="I38" s="119"/>
      <c r="J38" s="128"/>
      <c r="K38" s="119"/>
      <c r="L38" s="119"/>
      <c r="M38" s="119"/>
      <c r="N38" s="119"/>
    </row>
    <row r="39" spans="1:14">
      <c r="A39" s="126">
        <v>3293</v>
      </c>
      <c r="B39" s="127" t="s">
        <v>205</v>
      </c>
      <c r="C39" s="119">
        <f t="shared" si="1"/>
        <v>0</v>
      </c>
      <c r="D39" s="119"/>
      <c r="E39" s="119"/>
      <c r="F39" s="119"/>
      <c r="G39" s="128">
        <v>0</v>
      </c>
      <c r="H39" s="119"/>
      <c r="I39" s="119"/>
      <c r="J39" s="128"/>
      <c r="K39" s="119"/>
      <c r="L39" s="119"/>
      <c r="M39" s="119"/>
      <c r="N39" s="119"/>
    </row>
    <row r="40" spans="1:14">
      <c r="A40" s="126">
        <v>3294</v>
      </c>
      <c r="B40" s="127" t="s">
        <v>206</v>
      </c>
      <c r="C40" s="119">
        <f t="shared" si="1"/>
        <v>19000</v>
      </c>
      <c r="D40" s="119"/>
      <c r="E40" s="119"/>
      <c r="F40" s="119"/>
      <c r="G40" s="128">
        <v>19000</v>
      </c>
      <c r="H40" s="119"/>
      <c r="I40" s="119"/>
      <c r="J40" s="119"/>
      <c r="K40" s="119"/>
      <c r="L40" s="119"/>
      <c r="M40" s="119"/>
      <c r="N40" s="119"/>
    </row>
    <row r="41" spans="1:14">
      <c r="A41" s="126">
        <v>3295</v>
      </c>
      <c r="B41" s="127" t="s">
        <v>207</v>
      </c>
      <c r="C41" s="119">
        <f t="shared" si="1"/>
        <v>46000</v>
      </c>
      <c r="D41" s="119"/>
      <c r="E41" s="119"/>
      <c r="F41" s="119"/>
      <c r="G41" s="128">
        <v>46000</v>
      </c>
      <c r="H41" s="119"/>
      <c r="I41" s="119"/>
      <c r="J41" s="119"/>
      <c r="K41" s="119"/>
      <c r="L41" s="119"/>
      <c r="M41" s="119"/>
      <c r="N41" s="119"/>
    </row>
    <row r="42" spans="1:14">
      <c r="A42" s="126">
        <v>3299</v>
      </c>
      <c r="B42" s="127" t="s">
        <v>26</v>
      </c>
      <c r="C42" s="119">
        <f t="shared" si="1"/>
        <v>18000</v>
      </c>
      <c r="D42" s="119"/>
      <c r="E42" s="119"/>
      <c r="F42" s="119"/>
      <c r="G42" s="128">
        <v>18000</v>
      </c>
      <c r="H42" s="119"/>
      <c r="I42" s="128"/>
      <c r="J42" s="119"/>
      <c r="K42" s="119"/>
      <c r="L42" s="119"/>
      <c r="M42" s="119"/>
      <c r="N42" s="119"/>
    </row>
    <row r="43" spans="1:14">
      <c r="A43" s="126">
        <v>3431</v>
      </c>
      <c r="B43" s="127" t="s">
        <v>208</v>
      </c>
      <c r="C43" s="119">
        <f t="shared" si="1"/>
        <v>12000</v>
      </c>
      <c r="D43" s="119"/>
      <c r="E43" s="119"/>
      <c r="F43" s="119"/>
      <c r="G43" s="128">
        <v>12000</v>
      </c>
      <c r="H43" s="119"/>
      <c r="I43" s="119"/>
      <c r="J43" s="119"/>
      <c r="K43" s="119"/>
      <c r="L43" s="119"/>
      <c r="M43" s="119"/>
      <c r="N43" s="119"/>
    </row>
    <row r="44" spans="1:14">
      <c r="A44" s="126">
        <v>3434</v>
      </c>
      <c r="B44" s="127" t="s">
        <v>209</v>
      </c>
      <c r="C44" s="119">
        <f t="shared" si="1"/>
        <v>60000</v>
      </c>
      <c r="D44" s="119"/>
      <c r="E44" s="119"/>
      <c r="F44" s="119"/>
      <c r="G44" s="128">
        <v>60000</v>
      </c>
      <c r="H44" s="119"/>
      <c r="I44" s="119"/>
      <c r="J44" s="119"/>
      <c r="K44" s="119"/>
      <c r="L44" s="119"/>
      <c r="M44" s="119"/>
      <c r="N44" s="119"/>
    </row>
    <row r="45" spans="1:14" s="125" customFormat="1">
      <c r="A45" s="122">
        <v>420603</v>
      </c>
      <c r="B45" s="123" t="s">
        <v>210</v>
      </c>
      <c r="C45" s="138">
        <f>SUM(C46:C52)</f>
        <v>1585000</v>
      </c>
      <c r="D45" s="138">
        <f>SUM(D46:D52)</f>
        <v>0</v>
      </c>
      <c r="E45" s="138">
        <f t="shared" ref="E45:N45" si="2">SUM(E46:E52)</f>
        <v>0</v>
      </c>
      <c r="F45" s="138">
        <f t="shared" si="2"/>
        <v>0</v>
      </c>
      <c r="G45" s="138">
        <f t="shared" si="2"/>
        <v>1585000</v>
      </c>
      <c r="H45" s="138">
        <f t="shared" si="2"/>
        <v>0</v>
      </c>
      <c r="I45" s="138">
        <f t="shared" si="2"/>
        <v>0</v>
      </c>
      <c r="J45" s="138">
        <f t="shared" si="2"/>
        <v>0</v>
      </c>
      <c r="K45" s="138">
        <f t="shared" si="2"/>
        <v>0</v>
      </c>
      <c r="L45" s="138">
        <f t="shared" si="2"/>
        <v>0</v>
      </c>
      <c r="M45" s="138">
        <f t="shared" si="2"/>
        <v>0</v>
      </c>
      <c r="N45" s="138">
        <f t="shared" si="2"/>
        <v>0</v>
      </c>
    </row>
    <row r="46" spans="1:14">
      <c r="A46" s="126">
        <v>3111</v>
      </c>
      <c r="B46" s="127" t="s">
        <v>176</v>
      </c>
      <c r="C46" s="119">
        <f>SUM(D46:L46)</f>
        <v>1150000</v>
      </c>
      <c r="D46" s="119"/>
      <c r="E46" s="119"/>
      <c r="F46" s="119"/>
      <c r="G46" s="128">
        <f>1190000-40000</f>
        <v>1150000</v>
      </c>
      <c r="H46" s="119"/>
      <c r="I46" s="119"/>
      <c r="J46" s="119"/>
      <c r="K46" s="119"/>
      <c r="L46" s="119"/>
      <c r="M46" s="119"/>
      <c r="N46" s="119"/>
    </row>
    <row r="47" spans="1:14">
      <c r="A47" s="126">
        <v>3114</v>
      </c>
      <c r="B47" s="127" t="s">
        <v>211</v>
      </c>
      <c r="C47" s="119">
        <f t="shared" ref="C47:C52" si="3">SUM(D47:L47)</f>
        <v>125000</v>
      </c>
      <c r="D47" s="119"/>
      <c r="E47" s="119"/>
      <c r="F47" s="119"/>
      <c r="G47" s="128">
        <v>125000</v>
      </c>
      <c r="H47" s="119"/>
      <c r="I47" s="119"/>
      <c r="J47" s="119"/>
      <c r="K47" s="119"/>
      <c r="L47" s="119"/>
      <c r="M47" s="119"/>
      <c r="N47" s="119"/>
    </row>
    <row r="48" spans="1:14">
      <c r="A48" s="126">
        <v>3121</v>
      </c>
      <c r="B48" s="127" t="s">
        <v>20</v>
      </c>
      <c r="C48" s="119">
        <f t="shared" si="3"/>
        <v>30000</v>
      </c>
      <c r="D48" s="119"/>
      <c r="E48" s="119"/>
      <c r="F48" s="119"/>
      <c r="G48" s="128">
        <v>30000</v>
      </c>
      <c r="H48" s="119"/>
      <c r="I48" s="119"/>
      <c r="J48" s="119"/>
      <c r="K48" s="119"/>
      <c r="L48" s="119"/>
      <c r="M48" s="119"/>
      <c r="N48" s="119"/>
    </row>
    <row r="49" spans="1:14">
      <c r="A49" s="126">
        <v>3131</v>
      </c>
      <c r="B49" s="139" t="s">
        <v>180</v>
      </c>
      <c r="C49" s="119">
        <f t="shared" si="3"/>
        <v>0</v>
      </c>
      <c r="D49" s="119"/>
      <c r="E49" s="119"/>
      <c r="F49" s="119"/>
      <c r="G49" s="128">
        <v>0</v>
      </c>
      <c r="H49" s="119"/>
      <c r="I49" s="119"/>
      <c r="J49" s="119"/>
      <c r="K49" s="119"/>
      <c r="L49" s="119"/>
      <c r="M49" s="119"/>
      <c r="N49" s="119"/>
    </row>
    <row r="50" spans="1:14">
      <c r="A50" s="126">
        <v>3132</v>
      </c>
      <c r="B50" s="127" t="s">
        <v>181</v>
      </c>
      <c r="C50" s="119">
        <f t="shared" si="3"/>
        <v>210000</v>
      </c>
      <c r="D50" s="119"/>
      <c r="E50" s="119"/>
      <c r="F50" s="119"/>
      <c r="G50" s="128">
        <v>210000</v>
      </c>
      <c r="H50" s="119"/>
      <c r="I50" s="119"/>
      <c r="J50" s="119"/>
      <c r="K50" s="119"/>
      <c r="L50" s="119"/>
      <c r="M50" s="119"/>
      <c r="N50" s="119"/>
    </row>
    <row r="51" spans="1:14" ht="25.5">
      <c r="A51" s="126">
        <v>3133</v>
      </c>
      <c r="B51" s="139" t="s">
        <v>182</v>
      </c>
      <c r="C51" s="119">
        <f t="shared" si="3"/>
        <v>0</v>
      </c>
      <c r="D51" s="119"/>
      <c r="E51" s="119"/>
      <c r="F51" s="119"/>
      <c r="G51" s="128">
        <v>0</v>
      </c>
      <c r="H51" s="119"/>
      <c r="I51" s="119"/>
      <c r="J51" s="119"/>
      <c r="K51" s="119"/>
      <c r="L51" s="119"/>
      <c r="M51" s="119"/>
      <c r="N51" s="119"/>
    </row>
    <row r="52" spans="1:14" ht="25.5">
      <c r="A52" s="126">
        <v>3212</v>
      </c>
      <c r="B52" s="127" t="s">
        <v>184</v>
      </c>
      <c r="C52" s="119">
        <f t="shared" si="3"/>
        <v>70000</v>
      </c>
      <c r="D52" s="119"/>
      <c r="E52" s="119"/>
      <c r="F52" s="119"/>
      <c r="G52" s="128">
        <v>70000</v>
      </c>
      <c r="H52" s="119"/>
      <c r="I52" s="119"/>
      <c r="J52" s="119"/>
      <c r="K52" s="119"/>
      <c r="L52" s="119"/>
      <c r="M52" s="119"/>
      <c r="N52" s="119"/>
    </row>
    <row r="53" spans="1:14" ht="25.5">
      <c r="A53" s="200" t="s">
        <v>256</v>
      </c>
      <c r="B53" s="120" t="s">
        <v>257</v>
      </c>
      <c r="C53" s="142"/>
      <c r="D53" s="142"/>
      <c r="E53" s="142"/>
      <c r="F53" s="142"/>
      <c r="G53" s="201"/>
      <c r="H53" s="142"/>
      <c r="I53" s="142"/>
      <c r="J53" s="142"/>
      <c r="K53" s="142"/>
      <c r="L53" s="142"/>
      <c r="M53" s="142"/>
      <c r="N53" s="142"/>
    </row>
    <row r="54" spans="1:14" ht="25.5">
      <c r="A54" s="140">
        <v>420705</v>
      </c>
      <c r="B54" s="141" t="s">
        <v>212</v>
      </c>
      <c r="C54" s="138">
        <f t="shared" ref="C54:N54" si="4">SUM(C55:C95)</f>
        <v>9083000</v>
      </c>
      <c r="D54" s="138">
        <f t="shared" si="4"/>
        <v>0</v>
      </c>
      <c r="E54" s="138">
        <f t="shared" si="4"/>
        <v>0</v>
      </c>
      <c r="F54" s="138">
        <f t="shared" si="4"/>
        <v>9078000</v>
      </c>
      <c r="G54" s="138">
        <f t="shared" si="4"/>
        <v>0</v>
      </c>
      <c r="H54" s="138">
        <f t="shared" si="4"/>
        <v>0</v>
      </c>
      <c r="I54" s="138">
        <f t="shared" si="4"/>
        <v>0</v>
      </c>
      <c r="J54" s="138">
        <f t="shared" si="4"/>
        <v>0</v>
      </c>
      <c r="K54" s="138">
        <f t="shared" si="4"/>
        <v>0</v>
      </c>
      <c r="L54" s="138">
        <f t="shared" si="4"/>
        <v>5000</v>
      </c>
      <c r="M54" s="138">
        <f t="shared" si="4"/>
        <v>0</v>
      </c>
      <c r="N54" s="138">
        <f t="shared" si="4"/>
        <v>0</v>
      </c>
    </row>
    <row r="55" spans="1:14">
      <c r="A55" s="126">
        <v>3111</v>
      </c>
      <c r="B55" s="127" t="s">
        <v>176</v>
      </c>
      <c r="C55" s="119">
        <f>SUM(D55:L55)</f>
        <v>4080800</v>
      </c>
      <c r="D55" s="119"/>
      <c r="E55" s="119"/>
      <c r="F55" s="128">
        <f>4080800-5000</f>
        <v>4075800</v>
      </c>
      <c r="G55" s="119"/>
      <c r="H55" s="119"/>
      <c r="I55" s="119"/>
      <c r="J55" s="119"/>
      <c r="K55" s="119"/>
      <c r="L55" s="128">
        <v>5000</v>
      </c>
      <c r="M55" s="128"/>
      <c r="N55" s="128"/>
    </row>
    <row r="56" spans="1:14">
      <c r="A56" s="126">
        <v>3112</v>
      </c>
      <c r="B56" s="127" t="s">
        <v>177</v>
      </c>
      <c r="C56" s="119">
        <f t="shared" ref="C56:C95" si="5">SUM(D56:L56)</f>
        <v>0</v>
      </c>
      <c r="D56" s="119"/>
      <c r="E56" s="119"/>
      <c r="F56" s="128">
        <v>0</v>
      </c>
      <c r="G56" s="119"/>
      <c r="H56" s="119"/>
      <c r="I56" s="119"/>
      <c r="J56" s="119"/>
      <c r="K56" s="119"/>
      <c r="L56" s="128"/>
      <c r="M56" s="128"/>
      <c r="N56" s="128"/>
    </row>
    <row r="57" spans="1:14">
      <c r="A57" s="126">
        <v>3113</v>
      </c>
      <c r="B57" s="127" t="s">
        <v>178</v>
      </c>
      <c r="C57" s="119">
        <f t="shared" si="5"/>
        <v>0</v>
      </c>
      <c r="D57" s="119"/>
      <c r="E57" s="119"/>
      <c r="F57" s="128">
        <v>0</v>
      </c>
      <c r="G57" s="119"/>
      <c r="H57" s="119"/>
      <c r="I57" s="119"/>
      <c r="J57" s="119"/>
      <c r="K57" s="119"/>
      <c r="L57" s="128"/>
      <c r="M57" s="128"/>
      <c r="N57" s="128"/>
    </row>
    <row r="58" spans="1:14">
      <c r="A58" s="126">
        <v>3114</v>
      </c>
      <c r="B58" s="127" t="s">
        <v>179</v>
      </c>
      <c r="C58" s="119">
        <f t="shared" si="5"/>
        <v>120000</v>
      </c>
      <c r="D58" s="119"/>
      <c r="E58" s="119"/>
      <c r="F58" s="128">
        <f>120000</f>
        <v>120000</v>
      </c>
      <c r="G58" s="119"/>
      <c r="H58" s="119"/>
      <c r="I58" s="119"/>
      <c r="J58" s="119"/>
      <c r="K58" s="119"/>
      <c r="L58" s="128"/>
      <c r="M58" s="128"/>
      <c r="N58" s="128"/>
    </row>
    <row r="59" spans="1:14">
      <c r="A59" s="126">
        <v>3121</v>
      </c>
      <c r="B59" s="127" t="s">
        <v>20</v>
      </c>
      <c r="C59" s="119">
        <f t="shared" si="5"/>
        <v>70000</v>
      </c>
      <c r="D59" s="119"/>
      <c r="E59" s="119"/>
      <c r="F59" s="128">
        <f>70000</f>
        <v>70000</v>
      </c>
      <c r="G59" s="119"/>
      <c r="H59" s="119"/>
      <c r="I59" s="119"/>
      <c r="J59" s="119"/>
      <c r="K59" s="119"/>
      <c r="L59" s="128"/>
      <c r="M59" s="128"/>
      <c r="N59" s="128"/>
    </row>
    <row r="60" spans="1:14">
      <c r="A60" s="126">
        <v>3131</v>
      </c>
      <c r="B60" s="127" t="s">
        <v>180</v>
      </c>
      <c r="C60" s="119">
        <f t="shared" si="5"/>
        <v>0</v>
      </c>
      <c r="D60" s="119"/>
      <c r="E60" s="119"/>
      <c r="F60" s="128">
        <v>0</v>
      </c>
      <c r="G60" s="119"/>
      <c r="H60" s="119"/>
      <c r="I60" s="119"/>
      <c r="J60" s="119"/>
      <c r="K60" s="119"/>
      <c r="L60" s="119"/>
      <c r="M60" s="119"/>
      <c r="N60" s="119"/>
    </row>
    <row r="61" spans="1:14">
      <c r="A61" s="126">
        <v>3132</v>
      </c>
      <c r="B61" s="127" t="s">
        <v>181</v>
      </c>
      <c r="C61" s="119">
        <f t="shared" si="5"/>
        <v>668945</v>
      </c>
      <c r="D61" s="119"/>
      <c r="E61" s="119"/>
      <c r="F61" s="128">
        <f>668945</f>
        <v>668945</v>
      </c>
      <c r="G61" s="119"/>
      <c r="H61" s="119"/>
      <c r="I61" s="119"/>
      <c r="J61" s="119"/>
      <c r="K61" s="119"/>
      <c r="L61" s="119"/>
      <c r="M61" s="119"/>
      <c r="N61" s="119"/>
    </row>
    <row r="62" spans="1:14" ht="25.5">
      <c r="A62" s="126">
        <v>3133</v>
      </c>
      <c r="B62" s="127" t="s">
        <v>182</v>
      </c>
      <c r="C62" s="119">
        <f t="shared" si="5"/>
        <v>0</v>
      </c>
      <c r="D62" s="119"/>
      <c r="E62" s="119"/>
      <c r="F62" s="128">
        <v>0</v>
      </c>
      <c r="G62" s="119"/>
      <c r="H62" s="119"/>
      <c r="I62" s="119"/>
      <c r="J62" s="119"/>
      <c r="K62" s="119"/>
      <c r="L62" s="119"/>
      <c r="M62" s="119"/>
      <c r="N62" s="119"/>
    </row>
    <row r="63" spans="1:14">
      <c r="A63" s="126">
        <v>3211</v>
      </c>
      <c r="B63" s="127" t="s">
        <v>183</v>
      </c>
      <c r="C63" s="119">
        <f t="shared" si="5"/>
        <v>12000</v>
      </c>
      <c r="D63" s="119"/>
      <c r="E63" s="119"/>
      <c r="F63" s="128">
        <v>12000</v>
      </c>
      <c r="G63" s="119"/>
      <c r="H63" s="119"/>
      <c r="I63" s="119"/>
      <c r="J63" s="119"/>
      <c r="K63" s="119"/>
      <c r="L63" s="119"/>
      <c r="M63" s="119"/>
      <c r="N63" s="119"/>
    </row>
    <row r="64" spans="1:14" ht="25.5">
      <c r="A64" s="126">
        <v>3212</v>
      </c>
      <c r="B64" s="127" t="s">
        <v>184</v>
      </c>
      <c r="C64" s="119">
        <f t="shared" si="5"/>
        <v>194000</v>
      </c>
      <c r="D64" s="119"/>
      <c r="E64" s="119"/>
      <c r="F64" s="128">
        <f>194000</f>
        <v>194000</v>
      </c>
      <c r="G64" s="119"/>
      <c r="H64" s="119"/>
      <c r="I64" s="119"/>
      <c r="J64" s="119"/>
      <c r="K64" s="119"/>
      <c r="L64" s="119"/>
      <c r="M64" s="119"/>
      <c r="N64" s="119"/>
    </row>
    <row r="65" spans="1:14">
      <c r="A65" s="126">
        <v>3213</v>
      </c>
      <c r="B65" s="127" t="s">
        <v>185</v>
      </c>
      <c r="C65" s="119">
        <f t="shared" si="5"/>
        <v>16000</v>
      </c>
      <c r="D65" s="119"/>
      <c r="E65" s="119"/>
      <c r="F65" s="128">
        <v>16000</v>
      </c>
      <c r="G65" s="119"/>
      <c r="H65" s="119"/>
      <c r="I65" s="119"/>
      <c r="J65" s="119"/>
      <c r="K65" s="119"/>
      <c r="L65" s="119"/>
      <c r="M65" s="119"/>
      <c r="N65" s="119"/>
    </row>
    <row r="66" spans="1:14">
      <c r="A66" s="126">
        <v>3214</v>
      </c>
      <c r="B66" s="127" t="s">
        <v>186</v>
      </c>
      <c r="C66" s="119">
        <f t="shared" si="5"/>
        <v>0</v>
      </c>
      <c r="D66" s="119"/>
      <c r="E66" s="119"/>
      <c r="F66" s="128">
        <v>0</v>
      </c>
      <c r="G66" s="119"/>
      <c r="H66" s="119"/>
      <c r="I66" s="119"/>
      <c r="J66" s="119"/>
      <c r="K66" s="119"/>
      <c r="L66" s="119"/>
      <c r="M66" s="119"/>
      <c r="N66" s="119"/>
    </row>
    <row r="67" spans="1:14">
      <c r="A67" s="126">
        <v>3221</v>
      </c>
      <c r="B67" s="127" t="s">
        <v>187</v>
      </c>
      <c r="C67" s="119">
        <f t="shared" si="5"/>
        <v>140000</v>
      </c>
      <c r="D67" s="119"/>
      <c r="E67" s="119"/>
      <c r="F67" s="128">
        <v>140000</v>
      </c>
      <c r="G67" s="119"/>
      <c r="H67" s="119"/>
      <c r="I67" s="119"/>
      <c r="J67" s="119"/>
      <c r="K67" s="119"/>
      <c r="L67" s="119"/>
      <c r="M67" s="119"/>
      <c r="N67" s="119"/>
    </row>
    <row r="68" spans="1:14">
      <c r="A68" s="126">
        <v>3222</v>
      </c>
      <c r="B68" s="127" t="s">
        <v>213</v>
      </c>
      <c r="C68" s="119">
        <f t="shared" si="5"/>
        <v>880000</v>
      </c>
      <c r="D68" s="119"/>
      <c r="E68" s="119"/>
      <c r="F68" s="128">
        <f>380000+500000</f>
        <v>880000</v>
      </c>
      <c r="G68" s="119"/>
      <c r="H68" s="119"/>
      <c r="I68" s="119"/>
      <c r="J68" s="119"/>
      <c r="K68" s="119"/>
      <c r="L68" s="119"/>
      <c r="M68" s="119"/>
      <c r="N68" s="119"/>
    </row>
    <row r="69" spans="1:14">
      <c r="A69" s="126">
        <v>3223</v>
      </c>
      <c r="B69" s="127" t="s">
        <v>189</v>
      </c>
      <c r="C69" s="119">
        <f t="shared" si="5"/>
        <v>540000</v>
      </c>
      <c r="D69" s="119"/>
      <c r="E69" s="119"/>
      <c r="F69" s="128">
        <v>540000</v>
      </c>
      <c r="G69" s="119"/>
      <c r="H69" s="119"/>
      <c r="I69" s="119"/>
      <c r="J69" s="119"/>
      <c r="K69" s="119"/>
      <c r="L69" s="119"/>
      <c r="M69" s="119"/>
      <c r="N69" s="119"/>
    </row>
    <row r="70" spans="1:14" ht="25.5">
      <c r="A70" s="126">
        <v>3224</v>
      </c>
      <c r="B70" s="127" t="s">
        <v>190</v>
      </c>
      <c r="C70" s="119">
        <f t="shared" si="5"/>
        <v>120000</v>
      </c>
      <c r="D70" s="119"/>
      <c r="E70" s="119"/>
      <c r="F70" s="128">
        <v>120000</v>
      </c>
      <c r="G70" s="119"/>
      <c r="H70" s="119"/>
      <c r="I70" s="119"/>
      <c r="J70" s="119"/>
      <c r="K70" s="119"/>
      <c r="L70" s="119"/>
      <c r="M70" s="119"/>
      <c r="N70" s="119"/>
    </row>
    <row r="71" spans="1:14">
      <c r="A71" s="126">
        <v>3225</v>
      </c>
      <c r="B71" s="127" t="s">
        <v>191</v>
      </c>
      <c r="C71" s="119">
        <f t="shared" si="5"/>
        <v>32000</v>
      </c>
      <c r="D71" s="119"/>
      <c r="E71" s="119"/>
      <c r="F71" s="128">
        <v>32000</v>
      </c>
      <c r="G71" s="119"/>
      <c r="H71" s="119"/>
      <c r="I71" s="119"/>
      <c r="J71" s="119"/>
      <c r="K71" s="119"/>
      <c r="L71" s="119"/>
      <c r="M71" s="119"/>
      <c r="N71" s="119"/>
    </row>
    <row r="72" spans="1:14">
      <c r="A72" s="126">
        <v>3227</v>
      </c>
      <c r="B72" s="127" t="s">
        <v>214</v>
      </c>
      <c r="C72" s="119">
        <f t="shared" si="5"/>
        <v>20000</v>
      </c>
      <c r="D72" s="119"/>
      <c r="E72" s="119"/>
      <c r="F72" s="128">
        <v>20000</v>
      </c>
      <c r="G72" s="119"/>
      <c r="H72" s="119"/>
      <c r="I72" s="119"/>
      <c r="J72" s="119"/>
      <c r="K72" s="119"/>
      <c r="L72" s="119"/>
      <c r="M72" s="119"/>
      <c r="N72" s="119"/>
    </row>
    <row r="73" spans="1:14">
      <c r="A73" s="126">
        <v>3231</v>
      </c>
      <c r="B73" s="127" t="s">
        <v>193</v>
      </c>
      <c r="C73" s="119">
        <f t="shared" si="5"/>
        <v>57000</v>
      </c>
      <c r="D73" s="119"/>
      <c r="E73" s="119"/>
      <c r="F73" s="128">
        <v>57000</v>
      </c>
      <c r="G73" s="119"/>
      <c r="H73" s="119"/>
      <c r="I73" s="119"/>
      <c r="J73" s="119"/>
      <c r="K73" s="119"/>
      <c r="L73" s="119"/>
      <c r="M73" s="119"/>
      <c r="N73" s="119"/>
    </row>
    <row r="74" spans="1:14">
      <c r="A74" s="126">
        <v>3232</v>
      </c>
      <c r="B74" s="127" t="s">
        <v>194</v>
      </c>
      <c r="C74" s="119">
        <f t="shared" si="5"/>
        <v>996004</v>
      </c>
      <c r="D74" s="119"/>
      <c r="E74" s="119"/>
      <c r="F74" s="128">
        <f>220700+775304</f>
        <v>996004</v>
      </c>
      <c r="G74" s="119"/>
      <c r="H74" s="119"/>
      <c r="I74" s="119"/>
      <c r="J74" s="119"/>
      <c r="K74" s="119"/>
      <c r="L74" s="119"/>
      <c r="M74" s="119"/>
      <c r="N74" s="119"/>
    </row>
    <row r="75" spans="1:14">
      <c r="A75" s="126">
        <v>3233</v>
      </c>
      <c r="B75" s="127" t="s">
        <v>215</v>
      </c>
      <c r="C75" s="119">
        <f t="shared" si="5"/>
        <v>150000</v>
      </c>
      <c r="D75" s="119"/>
      <c r="E75" s="119"/>
      <c r="F75" s="128">
        <v>150000</v>
      </c>
      <c r="G75" s="119"/>
      <c r="H75" s="119"/>
      <c r="I75" s="119"/>
      <c r="J75" s="119"/>
      <c r="K75" s="119"/>
      <c r="L75" s="119"/>
      <c r="M75" s="119"/>
      <c r="N75" s="119"/>
    </row>
    <row r="76" spans="1:14">
      <c r="A76" s="126">
        <v>3234</v>
      </c>
      <c r="B76" s="127" t="s">
        <v>196</v>
      </c>
      <c r="C76" s="119">
        <f t="shared" si="5"/>
        <v>235000</v>
      </c>
      <c r="D76" s="119"/>
      <c r="E76" s="119"/>
      <c r="F76" s="128">
        <v>235000</v>
      </c>
      <c r="G76" s="119"/>
      <c r="H76" s="119"/>
      <c r="I76" s="119"/>
      <c r="J76" s="119"/>
      <c r="K76" s="119"/>
      <c r="L76" s="119"/>
      <c r="M76" s="119"/>
      <c r="N76" s="119"/>
    </row>
    <row r="77" spans="1:14">
      <c r="A77" s="126">
        <v>3235</v>
      </c>
      <c r="B77" s="127" t="s">
        <v>197</v>
      </c>
      <c r="C77" s="119">
        <f t="shared" si="5"/>
        <v>90000</v>
      </c>
      <c r="D77" s="119"/>
      <c r="E77" s="119"/>
      <c r="F77" s="128">
        <v>90000</v>
      </c>
      <c r="G77" s="119"/>
      <c r="H77" s="119"/>
      <c r="I77" s="119"/>
      <c r="J77" s="119"/>
      <c r="K77" s="119"/>
      <c r="L77" s="119"/>
      <c r="M77" s="119"/>
      <c r="N77" s="119"/>
    </row>
    <row r="78" spans="1:14">
      <c r="A78" s="126">
        <v>3236</v>
      </c>
      <c r="B78" s="127" t="s">
        <v>198</v>
      </c>
      <c r="C78" s="119">
        <f t="shared" si="5"/>
        <v>88000</v>
      </c>
      <c r="D78" s="119"/>
      <c r="E78" s="119"/>
      <c r="F78" s="128">
        <v>88000</v>
      </c>
      <c r="G78" s="119"/>
      <c r="H78" s="119"/>
      <c r="I78" s="119"/>
      <c r="J78" s="119"/>
      <c r="K78" s="119"/>
      <c r="L78" s="119"/>
      <c r="M78" s="119"/>
      <c r="N78" s="119"/>
    </row>
    <row r="79" spans="1:14">
      <c r="A79" s="126">
        <v>3237</v>
      </c>
      <c r="B79" s="127" t="s">
        <v>199</v>
      </c>
      <c r="C79" s="119">
        <f t="shared" si="5"/>
        <v>75000</v>
      </c>
      <c r="D79" s="119"/>
      <c r="E79" s="119"/>
      <c r="F79" s="128">
        <v>75000</v>
      </c>
      <c r="G79" s="119"/>
      <c r="H79" s="119"/>
      <c r="I79" s="119"/>
      <c r="J79" s="119"/>
      <c r="K79" s="119"/>
      <c r="L79" s="119"/>
      <c r="M79" s="119"/>
      <c r="N79" s="119"/>
    </row>
    <row r="80" spans="1:14">
      <c r="A80" s="126">
        <v>3238</v>
      </c>
      <c r="B80" s="127" t="s">
        <v>200</v>
      </c>
      <c r="C80" s="119">
        <f t="shared" si="5"/>
        <v>94000</v>
      </c>
      <c r="D80" s="119"/>
      <c r="E80" s="119"/>
      <c r="F80" s="128">
        <v>94000</v>
      </c>
      <c r="G80" s="119"/>
      <c r="H80" s="119"/>
      <c r="I80" s="119"/>
      <c r="J80" s="119"/>
      <c r="K80" s="119"/>
      <c r="L80" s="119"/>
      <c r="M80" s="119"/>
      <c r="N80" s="119"/>
    </row>
    <row r="81" spans="1:14">
      <c r="A81" s="126">
        <v>3239</v>
      </c>
      <c r="B81" s="127" t="s">
        <v>201</v>
      </c>
      <c r="C81" s="119">
        <f t="shared" si="5"/>
        <v>190000</v>
      </c>
      <c r="D81" s="119"/>
      <c r="E81" s="119"/>
      <c r="F81" s="128">
        <v>190000</v>
      </c>
      <c r="G81" s="119"/>
      <c r="H81" s="119"/>
      <c r="I81" s="119"/>
      <c r="J81" s="119"/>
      <c r="K81" s="119"/>
      <c r="L81" s="119"/>
      <c r="M81" s="119"/>
      <c r="N81" s="119"/>
    </row>
    <row r="82" spans="1:14" ht="25.5">
      <c r="A82" s="126">
        <v>3241</v>
      </c>
      <c r="B82" s="127" t="s">
        <v>48</v>
      </c>
      <c r="C82" s="119">
        <f t="shared" si="5"/>
        <v>0</v>
      </c>
      <c r="D82" s="119"/>
      <c r="E82" s="119"/>
      <c r="F82" s="128">
        <v>0</v>
      </c>
      <c r="G82" s="119"/>
      <c r="H82" s="119"/>
      <c r="I82" s="119"/>
      <c r="J82" s="119"/>
      <c r="K82" s="119"/>
      <c r="L82" s="119"/>
      <c r="M82" s="119"/>
      <c r="N82" s="119"/>
    </row>
    <row r="83" spans="1:14" ht="25.5">
      <c r="A83" s="126">
        <v>3291</v>
      </c>
      <c r="B83" s="127" t="s">
        <v>216</v>
      </c>
      <c r="C83" s="119">
        <f t="shared" si="5"/>
        <v>0</v>
      </c>
      <c r="D83" s="119"/>
      <c r="E83" s="119"/>
      <c r="F83" s="128">
        <v>0</v>
      </c>
      <c r="G83" s="119"/>
      <c r="H83" s="119"/>
      <c r="I83" s="119"/>
      <c r="J83" s="119"/>
      <c r="K83" s="119"/>
      <c r="L83" s="119"/>
      <c r="M83" s="119"/>
      <c r="N83" s="119"/>
    </row>
    <row r="84" spans="1:14">
      <c r="A84" s="126">
        <v>3292</v>
      </c>
      <c r="B84" s="127" t="s">
        <v>217</v>
      </c>
      <c r="C84" s="119">
        <f t="shared" si="5"/>
        <v>44000</v>
      </c>
      <c r="D84" s="119"/>
      <c r="E84" s="119"/>
      <c r="F84" s="128">
        <v>44000</v>
      </c>
      <c r="G84" s="119"/>
      <c r="H84" s="119"/>
      <c r="I84" s="119"/>
      <c r="J84" s="119"/>
      <c r="K84" s="119"/>
      <c r="L84" s="119"/>
      <c r="M84" s="119"/>
      <c r="N84" s="119"/>
    </row>
    <row r="85" spans="1:14">
      <c r="A85" s="126">
        <v>3293</v>
      </c>
      <c r="B85" s="127" t="s">
        <v>205</v>
      </c>
      <c r="C85" s="119">
        <f t="shared" si="5"/>
        <v>25000</v>
      </c>
      <c r="D85" s="119"/>
      <c r="E85" s="119"/>
      <c r="F85" s="128">
        <v>25000</v>
      </c>
      <c r="G85" s="119"/>
      <c r="H85" s="119"/>
      <c r="I85" s="119"/>
      <c r="J85" s="119"/>
      <c r="K85" s="119"/>
      <c r="L85" s="119"/>
      <c r="M85" s="119"/>
      <c r="N85" s="119"/>
    </row>
    <row r="86" spans="1:14">
      <c r="A86" s="126">
        <v>3294</v>
      </c>
      <c r="B86" s="127" t="s">
        <v>218</v>
      </c>
      <c r="C86" s="119">
        <f t="shared" si="5"/>
        <v>19000</v>
      </c>
      <c r="D86" s="119"/>
      <c r="E86" s="119"/>
      <c r="F86" s="128">
        <v>19000</v>
      </c>
      <c r="G86" s="119"/>
      <c r="H86" s="119"/>
      <c r="I86" s="119"/>
      <c r="J86" s="119"/>
      <c r="K86" s="119"/>
      <c r="L86" s="119"/>
      <c r="M86" s="119"/>
      <c r="N86" s="119"/>
    </row>
    <row r="87" spans="1:14">
      <c r="A87" s="126">
        <v>3295</v>
      </c>
      <c r="B87" s="127" t="s">
        <v>207</v>
      </c>
      <c r="C87" s="119">
        <f t="shared" si="5"/>
        <v>14000</v>
      </c>
      <c r="D87" s="119"/>
      <c r="E87" s="119"/>
      <c r="F87" s="128">
        <v>14000</v>
      </c>
      <c r="G87" s="119"/>
      <c r="H87" s="119"/>
      <c r="I87" s="119"/>
      <c r="J87" s="119"/>
      <c r="K87" s="119"/>
      <c r="L87" s="119"/>
      <c r="M87" s="119"/>
      <c r="N87" s="119"/>
    </row>
    <row r="88" spans="1:14">
      <c r="A88" s="126">
        <v>3296</v>
      </c>
      <c r="B88" s="127" t="s">
        <v>219</v>
      </c>
      <c r="C88" s="119">
        <f t="shared" si="5"/>
        <v>0</v>
      </c>
      <c r="D88" s="119"/>
      <c r="E88" s="119"/>
      <c r="F88" s="128">
        <v>0</v>
      </c>
      <c r="G88" s="119"/>
      <c r="H88" s="119"/>
      <c r="I88" s="119"/>
      <c r="J88" s="119"/>
      <c r="K88" s="119"/>
      <c r="L88" s="119"/>
      <c r="M88" s="119"/>
      <c r="N88" s="119"/>
    </row>
    <row r="89" spans="1:14">
      <c r="A89" s="126">
        <v>3299</v>
      </c>
      <c r="B89" s="127" t="s">
        <v>26</v>
      </c>
      <c r="C89" s="119">
        <f t="shared" si="5"/>
        <v>2000</v>
      </c>
      <c r="D89" s="119"/>
      <c r="E89" s="119"/>
      <c r="F89" s="128">
        <v>2000</v>
      </c>
      <c r="G89" s="119"/>
      <c r="H89" s="119"/>
      <c r="I89" s="119"/>
      <c r="J89" s="119"/>
      <c r="K89" s="119"/>
      <c r="L89" s="119"/>
      <c r="M89" s="119"/>
      <c r="N89" s="119"/>
    </row>
    <row r="90" spans="1:14">
      <c r="A90" s="126">
        <v>3423</v>
      </c>
      <c r="B90" s="127" t="s">
        <v>220</v>
      </c>
      <c r="C90" s="119">
        <f t="shared" si="5"/>
        <v>46751</v>
      </c>
      <c r="D90" s="119"/>
      <c r="E90" s="119"/>
      <c r="F90" s="128">
        <v>46751</v>
      </c>
      <c r="G90" s="119"/>
      <c r="H90" s="119"/>
      <c r="I90" s="119"/>
      <c r="J90" s="119"/>
      <c r="K90" s="119"/>
      <c r="L90" s="119"/>
      <c r="M90" s="119"/>
      <c r="N90" s="119"/>
    </row>
    <row r="91" spans="1:14">
      <c r="A91" s="126">
        <v>3431</v>
      </c>
      <c r="B91" s="127" t="s">
        <v>208</v>
      </c>
      <c r="C91" s="119">
        <f t="shared" si="5"/>
        <v>10000</v>
      </c>
      <c r="D91" s="119"/>
      <c r="E91" s="119"/>
      <c r="F91" s="128">
        <v>10000</v>
      </c>
      <c r="G91" s="119"/>
      <c r="H91" s="119"/>
      <c r="I91" s="119"/>
      <c r="J91" s="119"/>
      <c r="K91" s="119"/>
      <c r="L91" s="119"/>
      <c r="M91" s="119"/>
      <c r="N91" s="119"/>
    </row>
    <row r="92" spans="1:14" ht="25.5">
      <c r="A92" s="126">
        <v>3432</v>
      </c>
      <c r="B92" s="127" t="s">
        <v>221</v>
      </c>
      <c r="C92" s="119">
        <f t="shared" si="5"/>
        <v>3000</v>
      </c>
      <c r="D92" s="119"/>
      <c r="E92" s="119"/>
      <c r="F92" s="128">
        <v>3000</v>
      </c>
      <c r="G92" s="119"/>
      <c r="H92" s="119"/>
      <c r="I92" s="119"/>
      <c r="J92" s="119"/>
      <c r="K92" s="119"/>
      <c r="L92" s="119"/>
      <c r="M92" s="119"/>
      <c r="N92" s="119"/>
    </row>
    <row r="93" spans="1:14">
      <c r="A93" s="126">
        <v>3433</v>
      </c>
      <c r="B93" s="127" t="s">
        <v>222</v>
      </c>
      <c r="C93" s="119">
        <f t="shared" si="5"/>
        <v>500</v>
      </c>
      <c r="D93" s="119"/>
      <c r="E93" s="119"/>
      <c r="F93" s="128">
        <v>500</v>
      </c>
      <c r="G93" s="119"/>
      <c r="H93" s="119"/>
      <c r="I93" s="119"/>
      <c r="J93" s="119"/>
      <c r="K93" s="119"/>
      <c r="L93" s="119"/>
      <c r="M93" s="119"/>
      <c r="N93" s="119"/>
    </row>
    <row r="94" spans="1:14">
      <c r="A94" s="126">
        <v>3434</v>
      </c>
      <c r="B94" s="127" t="s">
        <v>27</v>
      </c>
      <c r="C94" s="119">
        <f t="shared" si="5"/>
        <v>50000</v>
      </c>
      <c r="D94" s="119"/>
      <c r="E94" s="119"/>
      <c r="F94" s="128">
        <v>50000</v>
      </c>
      <c r="G94" s="119"/>
      <c r="H94" s="119"/>
      <c r="I94" s="119"/>
      <c r="J94" s="119"/>
      <c r="K94" s="119"/>
      <c r="L94" s="119"/>
      <c r="M94" s="119"/>
      <c r="N94" s="119"/>
    </row>
    <row r="95" spans="1:14">
      <c r="A95" s="126">
        <v>3831</v>
      </c>
      <c r="B95" s="127" t="s">
        <v>223</v>
      </c>
      <c r="C95" s="119">
        <f t="shared" si="5"/>
        <v>0</v>
      </c>
      <c r="D95" s="119"/>
      <c r="E95" s="119"/>
      <c r="F95" s="128">
        <v>0</v>
      </c>
      <c r="G95" s="119"/>
      <c r="H95" s="119"/>
      <c r="I95" s="119"/>
      <c r="J95" s="119"/>
      <c r="K95" s="119"/>
      <c r="L95" s="119"/>
      <c r="M95" s="119"/>
      <c r="N95" s="119"/>
    </row>
    <row r="96" spans="1:14">
      <c r="A96" s="126"/>
      <c r="B96" s="127"/>
      <c r="C96" s="119"/>
      <c r="D96" s="119"/>
      <c r="E96" s="119"/>
      <c r="F96" s="128"/>
      <c r="G96" s="119"/>
      <c r="H96" s="119"/>
      <c r="I96" s="119"/>
      <c r="J96" s="119"/>
      <c r="K96" s="119"/>
      <c r="L96" s="119"/>
      <c r="M96" s="119"/>
      <c r="N96" s="119"/>
    </row>
    <row r="97" spans="1:14" ht="25.5">
      <c r="A97" s="200" t="s">
        <v>258</v>
      </c>
      <c r="B97" s="120" t="s">
        <v>224</v>
      </c>
      <c r="C97" s="142"/>
      <c r="D97" s="121"/>
      <c r="E97" s="121" t="s">
        <v>225</v>
      </c>
      <c r="F97" s="142"/>
      <c r="G97" s="142"/>
      <c r="H97" s="142"/>
      <c r="I97" s="142"/>
      <c r="J97" s="142"/>
      <c r="K97" s="142"/>
      <c r="L97" s="142"/>
      <c r="M97" s="142"/>
      <c r="N97" s="142"/>
    </row>
    <row r="98" spans="1:14" s="125" customFormat="1" ht="25.5">
      <c r="A98" s="122">
        <v>420801</v>
      </c>
      <c r="B98" s="123" t="s">
        <v>226</v>
      </c>
      <c r="C98" s="124">
        <f>SUM(C99:C111)</f>
        <v>0</v>
      </c>
      <c r="D98" s="124">
        <f>SUM(D99:D111)</f>
        <v>0</v>
      </c>
      <c r="E98" s="124">
        <f>SUM(E99:E111)</f>
        <v>0</v>
      </c>
      <c r="F98" s="124">
        <f t="shared" ref="F98:N98" si="6">SUM(F99:F111)</f>
        <v>0</v>
      </c>
      <c r="G98" s="124">
        <f t="shared" si="6"/>
        <v>0</v>
      </c>
      <c r="H98" s="124">
        <f t="shared" si="6"/>
        <v>0</v>
      </c>
      <c r="I98" s="124">
        <f t="shared" si="6"/>
        <v>0</v>
      </c>
      <c r="J98" s="124">
        <f t="shared" si="6"/>
        <v>0</v>
      </c>
      <c r="K98" s="124">
        <f t="shared" si="6"/>
        <v>0</v>
      </c>
      <c r="L98" s="124">
        <f t="shared" si="6"/>
        <v>0</v>
      </c>
      <c r="M98" s="124">
        <f t="shared" si="6"/>
        <v>0</v>
      </c>
      <c r="N98" s="124">
        <f t="shared" si="6"/>
        <v>0</v>
      </c>
    </row>
    <row r="99" spans="1:14" ht="25.5">
      <c r="A99" s="126">
        <v>3224</v>
      </c>
      <c r="B99" s="127" t="s">
        <v>190</v>
      </c>
      <c r="C99" s="119">
        <f>SUM(D99:L99)</f>
        <v>0</v>
      </c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</row>
    <row r="100" spans="1:14" ht="15" customHeight="1">
      <c r="A100" s="126">
        <v>3232</v>
      </c>
      <c r="B100" s="127" t="s">
        <v>227</v>
      </c>
      <c r="C100" s="119">
        <f t="shared" ref="C100:C110" si="7">SUM(D100:L100)</f>
        <v>0</v>
      </c>
      <c r="D100" s="119"/>
      <c r="E100" s="128"/>
      <c r="F100" s="119"/>
      <c r="G100" s="119"/>
      <c r="H100" s="119"/>
      <c r="I100" s="119"/>
      <c r="J100" s="119"/>
      <c r="K100" s="119"/>
      <c r="L100" s="119"/>
      <c r="M100" s="119"/>
      <c r="N100" s="119"/>
    </row>
    <row r="101" spans="1:14">
      <c r="A101" s="126">
        <v>4123</v>
      </c>
      <c r="B101" s="127" t="s">
        <v>228</v>
      </c>
      <c r="C101" s="119">
        <f t="shared" si="7"/>
        <v>0</v>
      </c>
      <c r="D101" s="119"/>
      <c r="E101" s="128"/>
      <c r="F101" s="119"/>
      <c r="G101" s="119"/>
      <c r="H101" s="119"/>
      <c r="I101" s="119"/>
      <c r="J101" s="119"/>
      <c r="K101" s="119"/>
      <c r="L101" s="119"/>
      <c r="M101" s="119"/>
      <c r="N101" s="119"/>
    </row>
    <row r="102" spans="1:14">
      <c r="A102" s="126">
        <v>4221</v>
      </c>
      <c r="B102" s="127" t="s">
        <v>229</v>
      </c>
      <c r="C102" s="119">
        <f t="shared" si="7"/>
        <v>0</v>
      </c>
      <c r="D102" s="119"/>
      <c r="E102" s="128"/>
      <c r="F102" s="119"/>
      <c r="G102" s="119"/>
      <c r="H102" s="119"/>
      <c r="I102" s="119"/>
      <c r="J102" s="119"/>
      <c r="K102" s="119"/>
      <c r="L102" s="119"/>
      <c r="M102" s="119"/>
      <c r="N102" s="119"/>
    </row>
    <row r="103" spans="1:14">
      <c r="A103" s="126">
        <v>4222</v>
      </c>
      <c r="B103" s="127" t="s">
        <v>230</v>
      </c>
      <c r="C103" s="119">
        <f t="shared" si="7"/>
        <v>0</v>
      </c>
      <c r="D103" s="119"/>
      <c r="E103" s="128"/>
      <c r="F103" s="119"/>
      <c r="G103" s="119"/>
      <c r="H103" s="119"/>
      <c r="I103" s="119"/>
      <c r="J103" s="119"/>
      <c r="K103" s="119"/>
      <c r="L103" s="119"/>
      <c r="M103" s="119"/>
      <c r="N103" s="119"/>
    </row>
    <row r="104" spans="1:14">
      <c r="A104" s="126">
        <v>4223</v>
      </c>
      <c r="B104" s="127" t="s">
        <v>231</v>
      </c>
      <c r="C104" s="119">
        <f t="shared" si="7"/>
        <v>0</v>
      </c>
      <c r="D104" s="119"/>
      <c r="E104" s="128"/>
      <c r="F104" s="119"/>
      <c r="G104" s="119"/>
      <c r="H104" s="119"/>
      <c r="I104" s="119"/>
      <c r="J104" s="119"/>
      <c r="K104" s="119"/>
      <c r="L104" s="119"/>
      <c r="M104" s="119"/>
      <c r="N104" s="119"/>
    </row>
    <row r="105" spans="1:14">
      <c r="A105" s="126">
        <v>4224</v>
      </c>
      <c r="B105" s="127" t="s">
        <v>232</v>
      </c>
      <c r="C105" s="119">
        <f t="shared" si="7"/>
        <v>0</v>
      </c>
      <c r="D105" s="119"/>
      <c r="E105" s="128"/>
      <c r="F105" s="119"/>
      <c r="G105" s="119"/>
      <c r="H105" s="119"/>
      <c r="I105" s="119"/>
      <c r="J105" s="119"/>
      <c r="K105" s="119"/>
      <c r="L105" s="119"/>
      <c r="M105" s="119"/>
      <c r="N105" s="119"/>
    </row>
    <row r="106" spans="1:14">
      <c r="A106" s="126">
        <v>4225</v>
      </c>
      <c r="B106" s="127" t="s">
        <v>233</v>
      </c>
      <c r="C106" s="119">
        <f t="shared" si="7"/>
        <v>0</v>
      </c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</row>
    <row r="107" spans="1:14">
      <c r="A107" s="126">
        <v>4227</v>
      </c>
      <c r="B107" s="127" t="s">
        <v>234</v>
      </c>
      <c r="C107" s="119">
        <f t="shared" si="7"/>
        <v>0</v>
      </c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</row>
    <row r="108" spans="1:14">
      <c r="A108" s="126">
        <v>4231</v>
      </c>
      <c r="B108" s="127" t="s">
        <v>74</v>
      </c>
      <c r="C108" s="119">
        <f t="shared" si="7"/>
        <v>0</v>
      </c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</row>
    <row r="109" spans="1:14">
      <c r="A109" s="126">
        <v>4262</v>
      </c>
      <c r="B109" s="127" t="s">
        <v>235</v>
      </c>
      <c r="C109" s="119">
        <f t="shared" si="7"/>
        <v>0</v>
      </c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</row>
    <row r="110" spans="1:14">
      <c r="A110" s="126">
        <v>4264</v>
      </c>
      <c r="B110" s="127" t="s">
        <v>236</v>
      </c>
      <c r="C110" s="119">
        <f t="shared" si="7"/>
        <v>0</v>
      </c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</row>
    <row r="111" spans="1:14">
      <c r="A111" s="126">
        <v>4511</v>
      </c>
      <c r="B111" s="127" t="s">
        <v>237</v>
      </c>
      <c r="C111" s="119">
        <f>SUM(D111:L111)</f>
        <v>0</v>
      </c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</row>
    <row r="112" spans="1:14" s="125" customFormat="1">
      <c r="A112" s="122">
        <v>420802</v>
      </c>
      <c r="B112" s="123" t="s">
        <v>238</v>
      </c>
      <c r="C112" s="124">
        <f>SUM(C113:C124)</f>
        <v>2520000</v>
      </c>
      <c r="D112" s="138">
        <f>SUM(D113:D124)</f>
        <v>850000</v>
      </c>
      <c r="E112" s="138">
        <f t="shared" ref="E112" si="8">SUM(E113:E124)</f>
        <v>990000</v>
      </c>
      <c r="F112" s="138">
        <f>SUM(F113:F124)</f>
        <v>530000</v>
      </c>
      <c r="G112" s="138">
        <f>SUM(G114:G124)</f>
        <v>0</v>
      </c>
      <c r="H112" s="124">
        <f t="shared" ref="H112:N112" si="9">SUM(H114:H124)</f>
        <v>0</v>
      </c>
      <c r="I112" s="124">
        <f t="shared" si="9"/>
        <v>150000</v>
      </c>
      <c r="J112" s="124">
        <f t="shared" si="9"/>
        <v>0</v>
      </c>
      <c r="K112" s="124">
        <f t="shared" si="9"/>
        <v>0</v>
      </c>
      <c r="L112" s="138">
        <f t="shared" si="9"/>
        <v>0</v>
      </c>
      <c r="M112" s="138">
        <f t="shared" si="9"/>
        <v>0</v>
      </c>
      <c r="N112" s="138">
        <f t="shared" si="9"/>
        <v>0</v>
      </c>
    </row>
    <row r="113" spans="1:14">
      <c r="A113" s="126">
        <v>3232</v>
      </c>
      <c r="B113" s="127" t="s">
        <v>227</v>
      </c>
      <c r="C113" s="119">
        <f>SUM(D113:N113)</f>
        <v>850000</v>
      </c>
      <c r="D113" s="165">
        <v>850000</v>
      </c>
      <c r="E113" s="119"/>
      <c r="F113" s="144"/>
      <c r="G113" s="128"/>
      <c r="H113" s="119"/>
      <c r="I113" s="119"/>
      <c r="J113" s="119"/>
      <c r="K113" s="119"/>
      <c r="L113" s="144"/>
      <c r="M113" s="144"/>
      <c r="N113" s="144"/>
    </row>
    <row r="114" spans="1:14">
      <c r="A114" s="126">
        <v>4123</v>
      </c>
      <c r="B114" s="100" t="s">
        <v>228</v>
      </c>
      <c r="C114" s="119">
        <f>SUM(D114:N114)</f>
        <v>21000</v>
      </c>
      <c r="D114" s="119"/>
      <c r="E114" s="119"/>
      <c r="F114" s="128">
        <v>21000</v>
      </c>
      <c r="G114" s="119"/>
      <c r="H114" s="119"/>
      <c r="I114" s="119"/>
      <c r="J114" s="119"/>
      <c r="K114" s="119"/>
      <c r="L114" s="128"/>
      <c r="M114" s="128"/>
      <c r="N114" s="128"/>
    </row>
    <row r="115" spans="1:14">
      <c r="A115" s="126">
        <v>4221</v>
      </c>
      <c r="B115" s="127" t="s">
        <v>229</v>
      </c>
      <c r="C115" s="119">
        <f t="shared" ref="C115:C124" si="10">SUM(D115:N115)</f>
        <v>180000</v>
      </c>
      <c r="D115" s="119"/>
      <c r="E115" s="119"/>
      <c r="F115" s="128">
        <v>180000</v>
      </c>
      <c r="G115" s="119"/>
      <c r="H115" s="119"/>
      <c r="I115" s="119"/>
      <c r="J115" s="119"/>
      <c r="K115" s="119"/>
      <c r="L115" s="134"/>
      <c r="M115" s="134"/>
      <c r="N115" s="134"/>
    </row>
    <row r="116" spans="1:14">
      <c r="A116" s="126">
        <v>4222</v>
      </c>
      <c r="B116" s="127" t="s">
        <v>230</v>
      </c>
      <c r="C116" s="119">
        <f t="shared" si="10"/>
        <v>50000</v>
      </c>
      <c r="D116" s="119"/>
      <c r="E116" s="119"/>
      <c r="F116" s="128">
        <v>50000</v>
      </c>
      <c r="G116" s="119"/>
      <c r="H116" s="119"/>
      <c r="I116" s="119"/>
      <c r="J116" s="119"/>
      <c r="K116" s="119"/>
      <c r="L116" s="134"/>
      <c r="M116" s="134"/>
      <c r="N116" s="134"/>
    </row>
    <row r="117" spans="1:14">
      <c r="A117" s="126">
        <v>4223</v>
      </c>
      <c r="B117" s="127" t="s">
        <v>231</v>
      </c>
      <c r="C117" s="119">
        <f t="shared" si="10"/>
        <v>40000</v>
      </c>
      <c r="D117" s="119"/>
      <c r="E117" s="119"/>
      <c r="F117" s="128">
        <v>40000</v>
      </c>
      <c r="G117" s="119"/>
      <c r="H117" s="119"/>
      <c r="I117" s="119"/>
      <c r="J117" s="119"/>
      <c r="K117" s="119"/>
      <c r="L117" s="134"/>
      <c r="M117" s="134"/>
      <c r="N117" s="134"/>
    </row>
    <row r="118" spans="1:14">
      <c r="A118" s="126">
        <v>4224</v>
      </c>
      <c r="B118" s="127" t="s">
        <v>232</v>
      </c>
      <c r="C118" s="119">
        <f t="shared" si="10"/>
        <v>1217000</v>
      </c>
      <c r="D118" s="119"/>
      <c r="E118" s="119">
        <v>887000</v>
      </c>
      <c r="F118" s="128">
        <f>330000-150000</f>
        <v>180000</v>
      </c>
      <c r="G118" s="119"/>
      <c r="H118" s="119"/>
      <c r="I118" s="119">
        <v>150000</v>
      </c>
      <c r="J118" s="119"/>
      <c r="K118" s="119"/>
      <c r="L118" s="134"/>
      <c r="M118" s="134"/>
      <c r="N118" s="134"/>
    </row>
    <row r="119" spans="1:14">
      <c r="A119" s="126">
        <v>4225</v>
      </c>
      <c r="B119" s="127" t="s">
        <v>233</v>
      </c>
      <c r="C119" s="119">
        <f t="shared" si="10"/>
        <v>0</v>
      </c>
      <c r="D119" s="119"/>
      <c r="E119" s="119"/>
      <c r="F119" s="128"/>
      <c r="G119" s="119"/>
      <c r="H119" s="119"/>
      <c r="I119" s="119"/>
      <c r="J119" s="119"/>
      <c r="K119" s="119"/>
      <c r="L119" s="134"/>
      <c r="M119" s="134"/>
      <c r="N119" s="134"/>
    </row>
    <row r="120" spans="1:14">
      <c r="A120" s="126">
        <v>4227</v>
      </c>
      <c r="B120" s="127" t="s">
        <v>234</v>
      </c>
      <c r="C120" s="119">
        <f t="shared" si="10"/>
        <v>142000</v>
      </c>
      <c r="D120" s="119"/>
      <c r="E120" s="119">
        <v>103000</v>
      </c>
      <c r="F120" s="128">
        <v>39000</v>
      </c>
      <c r="G120" s="119"/>
      <c r="H120" s="119"/>
      <c r="I120" s="119"/>
      <c r="J120" s="119"/>
      <c r="K120" s="119"/>
      <c r="L120" s="134"/>
      <c r="M120" s="134"/>
      <c r="N120" s="134"/>
    </row>
    <row r="121" spans="1:14">
      <c r="A121" s="126">
        <v>4231</v>
      </c>
      <c r="B121" s="127" t="s">
        <v>74</v>
      </c>
      <c r="C121" s="119">
        <f t="shared" si="10"/>
        <v>0</v>
      </c>
      <c r="D121" s="119"/>
      <c r="E121" s="119"/>
      <c r="F121" s="128"/>
      <c r="G121" s="119"/>
      <c r="H121" s="119"/>
      <c r="I121" s="119"/>
      <c r="J121" s="119"/>
      <c r="K121" s="119"/>
      <c r="L121" s="134"/>
      <c r="M121" s="134"/>
      <c r="N121" s="134"/>
    </row>
    <row r="122" spans="1:14">
      <c r="A122" s="126">
        <v>4262</v>
      </c>
      <c r="B122" s="127" t="s">
        <v>235</v>
      </c>
      <c r="C122" s="119">
        <f t="shared" si="10"/>
        <v>20000</v>
      </c>
      <c r="D122" s="119"/>
      <c r="E122" s="119"/>
      <c r="F122" s="128">
        <v>20000</v>
      </c>
      <c r="G122" s="128"/>
      <c r="H122" s="119"/>
      <c r="I122" s="119"/>
      <c r="J122" s="119"/>
      <c r="K122" s="119"/>
      <c r="L122" s="134"/>
      <c r="M122" s="134"/>
      <c r="N122" s="134"/>
    </row>
    <row r="123" spans="1:14">
      <c r="A123" s="126">
        <v>4264</v>
      </c>
      <c r="B123" s="127" t="s">
        <v>236</v>
      </c>
      <c r="C123" s="119">
        <f t="shared" si="10"/>
        <v>0</v>
      </c>
      <c r="D123" s="119"/>
      <c r="E123" s="119"/>
      <c r="F123" s="128"/>
      <c r="G123" s="119"/>
      <c r="H123" s="119"/>
      <c r="I123" s="119"/>
      <c r="J123" s="119"/>
      <c r="K123" s="119"/>
      <c r="L123" s="128"/>
      <c r="M123" s="128"/>
      <c r="N123" s="128"/>
    </row>
    <row r="124" spans="1:14">
      <c r="A124" s="126">
        <v>4511</v>
      </c>
      <c r="B124" s="127" t="s">
        <v>237</v>
      </c>
      <c r="C124" s="119">
        <f t="shared" si="10"/>
        <v>0</v>
      </c>
      <c r="D124" s="119"/>
      <c r="E124" s="119"/>
      <c r="F124" s="128"/>
      <c r="G124" s="119"/>
      <c r="H124" s="119"/>
      <c r="I124" s="119"/>
      <c r="J124" s="119"/>
      <c r="K124" s="119"/>
      <c r="L124" s="128"/>
      <c r="M124" s="128"/>
      <c r="N124" s="128"/>
    </row>
    <row r="125" spans="1:14" s="125" customFormat="1">
      <c r="A125" s="136">
        <v>54</v>
      </c>
      <c r="B125" s="137" t="s">
        <v>239</v>
      </c>
      <c r="C125" s="124">
        <f>C126</f>
        <v>1049750</v>
      </c>
      <c r="D125" s="124">
        <f>SUM(D126)</f>
        <v>0</v>
      </c>
      <c r="E125" s="124">
        <f t="shared" ref="E125:K125" si="11">SUM(E126)</f>
        <v>1049750</v>
      </c>
      <c r="F125" s="138">
        <f t="shared" si="11"/>
        <v>0</v>
      </c>
      <c r="G125" s="124">
        <f t="shared" si="11"/>
        <v>0</v>
      </c>
      <c r="H125" s="124">
        <f t="shared" si="11"/>
        <v>0</v>
      </c>
      <c r="I125" s="124">
        <f t="shared" si="11"/>
        <v>0</v>
      </c>
      <c r="J125" s="124">
        <f t="shared" si="11"/>
        <v>0</v>
      </c>
      <c r="K125" s="124">
        <f t="shared" si="11"/>
        <v>0</v>
      </c>
      <c r="L125" s="124">
        <f>SUM(L126)</f>
        <v>0</v>
      </c>
      <c r="M125" s="124">
        <f>SUM(M126)</f>
        <v>0</v>
      </c>
      <c r="N125" s="124">
        <f>SUM(N126)</f>
        <v>0</v>
      </c>
    </row>
    <row r="126" spans="1:14" ht="25.5">
      <c r="A126" s="126">
        <v>5443</v>
      </c>
      <c r="B126" s="127" t="s">
        <v>240</v>
      </c>
      <c r="C126" s="119">
        <f t="shared" ref="C126" si="12">SUM(D126:L126)</f>
        <v>1049750</v>
      </c>
      <c r="D126" s="119"/>
      <c r="E126" s="119">
        <v>1049750</v>
      </c>
      <c r="F126" s="145"/>
      <c r="G126" s="119"/>
      <c r="H126" s="119"/>
      <c r="I126" s="119"/>
      <c r="J126" s="119"/>
      <c r="K126" s="119"/>
      <c r="L126" s="119"/>
      <c r="M126" s="119"/>
      <c r="N126" s="119"/>
    </row>
    <row r="127" spans="1:14">
      <c r="A127" s="146"/>
      <c r="B127" s="147"/>
      <c r="C127" s="148"/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</row>
    <row r="128" spans="1:14">
      <c r="A128" s="146"/>
      <c r="B128" s="147"/>
      <c r="C128" s="148"/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</row>
    <row r="129" spans="1:15" ht="13.5" thickBot="1">
      <c r="A129" s="107"/>
      <c r="B129" s="149" t="s">
        <v>241</v>
      </c>
      <c r="C129" s="150">
        <f>C8+C45+C54+C98+C112+C125</f>
        <v>65572750</v>
      </c>
      <c r="D129" s="150">
        <f>D8+D45+D54+D98+D112+D125</f>
        <v>850000</v>
      </c>
      <c r="E129" s="150">
        <f t="shared" ref="E129:N129" si="13">E8+E45+E54+E98+E112+E125</f>
        <v>2039750</v>
      </c>
      <c r="F129" s="150">
        <f t="shared" si="13"/>
        <v>9608000</v>
      </c>
      <c r="G129" s="150">
        <f t="shared" si="13"/>
        <v>52270000</v>
      </c>
      <c r="H129" s="150">
        <f t="shared" si="13"/>
        <v>100000</v>
      </c>
      <c r="I129" s="150">
        <f t="shared" si="13"/>
        <v>300000</v>
      </c>
      <c r="J129" s="150">
        <f t="shared" si="13"/>
        <v>400000</v>
      </c>
      <c r="K129" s="150">
        <f t="shared" si="13"/>
        <v>0</v>
      </c>
      <c r="L129" s="150">
        <f t="shared" si="13"/>
        <v>5000</v>
      </c>
      <c r="M129" s="150">
        <f t="shared" si="13"/>
        <v>0</v>
      </c>
      <c r="N129" s="150">
        <f t="shared" si="13"/>
        <v>0</v>
      </c>
    </row>
    <row r="130" spans="1:15" ht="13.5" thickBot="1">
      <c r="A130" s="151"/>
      <c r="B130" s="152" t="s">
        <v>242</v>
      </c>
      <c r="C130" s="150">
        <f>SUM(D130:N130)</f>
        <v>65572750</v>
      </c>
      <c r="D130" s="153">
        <v>850000</v>
      </c>
      <c r="E130" s="153">
        <f>1049750+990000</f>
        <v>2039750</v>
      </c>
      <c r="F130" s="154">
        <f>9613000-5000</f>
        <v>9608000</v>
      </c>
      <c r="G130" s="153">
        <v>52270000</v>
      </c>
      <c r="H130" s="153">
        <v>100000</v>
      </c>
      <c r="I130" s="153">
        <v>300000</v>
      </c>
      <c r="J130" s="153">
        <v>400000</v>
      </c>
      <c r="K130" s="153"/>
      <c r="L130" s="153">
        <v>5000</v>
      </c>
      <c r="M130" s="153"/>
      <c r="N130" s="153"/>
      <c r="O130" s="155"/>
    </row>
    <row r="131" spans="1:15">
      <c r="A131" s="151"/>
      <c r="B131" s="152" t="s">
        <v>243</v>
      </c>
      <c r="C131" s="154">
        <f>C129-C130</f>
        <v>0</v>
      </c>
      <c r="D131" s="153"/>
      <c r="E131" s="156">
        <f>E129-E130</f>
        <v>0</v>
      </c>
      <c r="F131" s="156">
        <f>F129-F130</f>
        <v>0</v>
      </c>
      <c r="G131" s="156">
        <f>G129-G130</f>
        <v>0</v>
      </c>
      <c r="H131" s="157">
        <f t="shared" ref="H131:N131" si="14">H129-H130</f>
        <v>0</v>
      </c>
      <c r="I131" s="157">
        <f t="shared" si="14"/>
        <v>0</v>
      </c>
      <c r="J131" s="157">
        <f t="shared" si="14"/>
        <v>0</v>
      </c>
      <c r="K131" s="157">
        <f t="shared" si="14"/>
        <v>0</v>
      </c>
      <c r="L131" s="157">
        <f t="shared" si="14"/>
        <v>0</v>
      </c>
      <c r="M131" s="157">
        <f t="shared" si="14"/>
        <v>0</v>
      </c>
      <c r="N131" s="157">
        <f t="shared" si="14"/>
        <v>0</v>
      </c>
    </row>
    <row r="132" spans="1:15" ht="13.5" thickBot="1">
      <c r="A132" s="151"/>
      <c r="B132" s="152"/>
      <c r="C132" s="154"/>
      <c r="D132" s="153"/>
      <c r="E132" s="154"/>
      <c r="F132" s="154"/>
      <c r="G132" s="153"/>
      <c r="H132" s="153"/>
      <c r="I132" s="153"/>
      <c r="J132" s="153"/>
      <c r="K132" s="153"/>
      <c r="L132" s="153"/>
      <c r="M132" s="153"/>
      <c r="N132" s="153"/>
    </row>
    <row r="133" spans="1:15" ht="13.5" thickBot="1">
      <c r="A133" s="151"/>
      <c r="B133" s="158" t="s">
        <v>244</v>
      </c>
      <c r="C133" s="159" t="s">
        <v>242</v>
      </c>
      <c r="D133" s="160">
        <v>90</v>
      </c>
      <c r="E133" s="161">
        <v>30</v>
      </c>
      <c r="F133" s="161">
        <v>20</v>
      </c>
      <c r="G133" s="161">
        <v>10</v>
      </c>
      <c r="H133" s="161">
        <v>40</v>
      </c>
      <c r="I133" s="161">
        <v>50</v>
      </c>
      <c r="J133" s="161">
        <v>60</v>
      </c>
      <c r="K133" s="161">
        <v>70</v>
      </c>
      <c r="L133" s="161">
        <v>80</v>
      </c>
      <c r="M133" s="161">
        <v>81</v>
      </c>
      <c r="N133" s="162">
        <v>82</v>
      </c>
    </row>
    <row r="134" spans="1:15">
      <c r="A134" s="151"/>
      <c r="B134" s="127">
        <v>100</v>
      </c>
      <c r="C134" s="163">
        <f>SUM(D134:N134)</f>
        <v>52920000</v>
      </c>
      <c r="D134" s="164">
        <f>D8+D45</f>
        <v>0</v>
      </c>
      <c r="E134" s="164">
        <f t="shared" ref="E134:N134" si="15">E8+E45</f>
        <v>0</v>
      </c>
      <c r="F134" s="164">
        <f t="shared" si="15"/>
        <v>0</v>
      </c>
      <c r="G134" s="164">
        <f t="shared" si="15"/>
        <v>52270000</v>
      </c>
      <c r="H134" s="164">
        <f t="shared" si="15"/>
        <v>100000</v>
      </c>
      <c r="I134" s="164">
        <f t="shared" si="15"/>
        <v>150000</v>
      </c>
      <c r="J134" s="164">
        <f t="shared" si="15"/>
        <v>400000</v>
      </c>
      <c r="K134" s="164">
        <f t="shared" si="15"/>
        <v>0</v>
      </c>
      <c r="L134" s="164">
        <f t="shared" si="15"/>
        <v>0</v>
      </c>
      <c r="M134" s="164">
        <f t="shared" si="15"/>
        <v>0</v>
      </c>
      <c r="N134" s="164">
        <f t="shared" si="15"/>
        <v>0</v>
      </c>
    </row>
    <row r="135" spans="1:15">
      <c r="A135" s="151"/>
      <c r="B135" s="127">
        <v>200</v>
      </c>
      <c r="C135" s="143">
        <f t="shared" ref="C135" si="16">SUM(D135:N135)</f>
        <v>9083000</v>
      </c>
      <c r="D135" s="165">
        <f>D54</f>
        <v>0</v>
      </c>
      <c r="E135" s="165">
        <f t="shared" ref="E135:N135" si="17">E54</f>
        <v>0</v>
      </c>
      <c r="F135" s="165">
        <f t="shared" si="17"/>
        <v>9078000</v>
      </c>
      <c r="G135" s="165">
        <f t="shared" si="17"/>
        <v>0</v>
      </c>
      <c r="H135" s="165">
        <f t="shared" si="17"/>
        <v>0</v>
      </c>
      <c r="I135" s="165">
        <f t="shared" si="17"/>
        <v>0</v>
      </c>
      <c r="J135" s="165">
        <f t="shared" si="17"/>
        <v>0</v>
      </c>
      <c r="K135" s="165">
        <f t="shared" si="17"/>
        <v>0</v>
      </c>
      <c r="L135" s="165">
        <f t="shared" si="17"/>
        <v>5000</v>
      </c>
      <c r="M135" s="165">
        <f t="shared" si="17"/>
        <v>0</v>
      </c>
      <c r="N135" s="165">
        <f t="shared" si="17"/>
        <v>0</v>
      </c>
    </row>
    <row r="136" spans="1:15" ht="13.5" thickBot="1">
      <c r="A136" s="151"/>
      <c r="B136" s="127">
        <v>300</v>
      </c>
      <c r="C136" s="166">
        <f>SUM(D136:N136)</f>
        <v>3569750</v>
      </c>
      <c r="D136" s="167">
        <f>D98+D112+D125</f>
        <v>850000</v>
      </c>
      <c r="E136" s="167">
        <f t="shared" ref="E136:N136" si="18">E98+E112+E125</f>
        <v>2039750</v>
      </c>
      <c r="F136" s="167">
        <f t="shared" si="18"/>
        <v>530000</v>
      </c>
      <c r="G136" s="167">
        <f t="shared" si="18"/>
        <v>0</v>
      </c>
      <c r="H136" s="167">
        <f t="shared" si="18"/>
        <v>0</v>
      </c>
      <c r="I136" s="167">
        <f t="shared" si="18"/>
        <v>150000</v>
      </c>
      <c r="J136" s="167">
        <f t="shared" si="18"/>
        <v>0</v>
      </c>
      <c r="K136" s="167">
        <f t="shared" si="18"/>
        <v>0</v>
      </c>
      <c r="L136" s="167">
        <f t="shared" si="18"/>
        <v>0</v>
      </c>
      <c r="M136" s="167">
        <f t="shared" si="18"/>
        <v>0</v>
      </c>
      <c r="N136" s="167">
        <f t="shared" si="18"/>
        <v>0</v>
      </c>
    </row>
    <row r="137" spans="1:15" ht="13.5" thickBot="1">
      <c r="A137" s="151"/>
      <c r="B137" s="158" t="s">
        <v>245</v>
      </c>
      <c r="C137" s="168">
        <f>SUM(C134:C136)</f>
        <v>65572750</v>
      </c>
      <c r="D137" s="169">
        <f>SUM(D134:D136)</f>
        <v>850000</v>
      </c>
      <c r="E137" s="169">
        <f t="shared" ref="E137:N137" si="19">SUM(E134:E136)</f>
        <v>2039750</v>
      </c>
      <c r="F137" s="169">
        <f t="shared" si="19"/>
        <v>9608000</v>
      </c>
      <c r="G137" s="169">
        <f t="shared" si="19"/>
        <v>52270000</v>
      </c>
      <c r="H137" s="169">
        <f t="shared" si="19"/>
        <v>100000</v>
      </c>
      <c r="I137" s="169">
        <f t="shared" si="19"/>
        <v>300000</v>
      </c>
      <c r="J137" s="169">
        <f t="shared" si="19"/>
        <v>400000</v>
      </c>
      <c r="K137" s="169">
        <f t="shared" si="19"/>
        <v>0</v>
      </c>
      <c r="L137" s="169">
        <f t="shared" si="19"/>
        <v>5000</v>
      </c>
      <c r="M137" s="169">
        <f t="shared" si="19"/>
        <v>0</v>
      </c>
      <c r="N137" s="170">
        <f t="shared" si="19"/>
        <v>0</v>
      </c>
    </row>
    <row r="138" spans="1:15">
      <c r="A138" s="151"/>
      <c r="B138" s="152"/>
      <c r="C138" s="153"/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/>
    </row>
    <row r="139" spans="1:15">
      <c r="A139" s="151"/>
      <c r="B139" s="152"/>
      <c r="C139" s="155"/>
      <c r="D139" s="155"/>
      <c r="E139" s="155"/>
      <c r="F139" s="155"/>
      <c r="G139" s="155"/>
      <c r="H139" s="155"/>
      <c r="I139" s="155"/>
      <c r="J139" s="155"/>
      <c r="K139" s="155"/>
      <c r="L139" s="155"/>
      <c r="M139" s="155"/>
      <c r="N139" s="155"/>
    </row>
    <row r="140" spans="1:15">
      <c r="A140" s="151"/>
      <c r="B140" s="152"/>
      <c r="C140" s="155"/>
      <c r="D140" s="155"/>
      <c r="E140" s="155"/>
      <c r="F140" s="155"/>
      <c r="G140" s="155"/>
      <c r="H140" s="155"/>
      <c r="I140" s="155"/>
      <c r="J140" s="155"/>
      <c r="K140" s="172" t="s">
        <v>268</v>
      </c>
      <c r="L140" s="155"/>
      <c r="M140" s="155"/>
      <c r="N140" s="155"/>
    </row>
    <row r="141" spans="1:15" ht="15.75">
      <c r="A141" s="151"/>
      <c r="B141" s="152"/>
      <c r="C141" s="155"/>
      <c r="D141" s="155"/>
      <c r="E141" s="155"/>
      <c r="F141" s="155"/>
      <c r="G141" s="155"/>
      <c r="H141" s="155"/>
      <c r="I141" s="155"/>
      <c r="J141" s="171"/>
      <c r="K141" s="172" t="s">
        <v>269</v>
      </c>
      <c r="L141" s="171"/>
      <c r="M141" s="171"/>
      <c r="N141" s="171"/>
    </row>
    <row r="142" spans="1:15" ht="15.75">
      <c r="A142" s="151"/>
      <c r="B142" s="152"/>
      <c r="C142" s="155"/>
      <c r="D142" s="155"/>
      <c r="E142" s="155"/>
      <c r="F142" s="155"/>
      <c r="G142" s="155"/>
      <c r="H142" s="155"/>
      <c r="I142" s="155"/>
      <c r="J142" s="171"/>
      <c r="K142" s="171"/>
      <c r="L142" s="171"/>
      <c r="M142" s="171"/>
      <c r="N142" s="171"/>
    </row>
    <row r="143" spans="1:15">
      <c r="A143" s="151"/>
      <c r="B143" s="152"/>
      <c r="C143" s="155"/>
      <c r="D143" s="155"/>
      <c r="E143" s="155"/>
      <c r="F143" s="155"/>
      <c r="G143" s="155"/>
      <c r="H143" s="155"/>
      <c r="I143" s="155"/>
      <c r="J143" s="172"/>
      <c r="K143" s="172" t="s">
        <v>270</v>
      </c>
      <c r="L143" s="172"/>
      <c r="M143" s="172"/>
      <c r="N143" s="172"/>
    </row>
    <row r="144" spans="1:15">
      <c r="A144" s="151"/>
      <c r="B144" s="152"/>
      <c r="C144" s="155"/>
      <c r="D144" s="155"/>
      <c r="E144" s="155"/>
      <c r="F144" s="155"/>
      <c r="G144" s="155"/>
      <c r="H144" s="155"/>
      <c r="I144" s="155"/>
      <c r="J144" s="172"/>
      <c r="K144" s="172"/>
      <c r="L144" s="172"/>
      <c r="M144" s="172"/>
      <c r="N144" s="172"/>
    </row>
    <row r="145" spans="1:14">
      <c r="A145" s="151"/>
      <c r="B145" s="152"/>
      <c r="C145" s="155"/>
      <c r="D145" s="155"/>
      <c r="E145" s="155"/>
      <c r="F145" s="155"/>
      <c r="G145" s="155"/>
      <c r="H145" s="155"/>
      <c r="I145" s="155"/>
      <c r="J145" s="172"/>
      <c r="K145" s="172"/>
      <c r="L145" s="172"/>
      <c r="M145" s="172"/>
      <c r="N145" s="172"/>
    </row>
    <row r="146" spans="1:14">
      <c r="A146" s="151"/>
      <c r="B146" s="152"/>
      <c r="C146" s="155"/>
      <c r="D146" s="155"/>
      <c r="E146" s="155"/>
      <c r="F146" s="155"/>
      <c r="G146" s="155"/>
      <c r="H146" s="155"/>
      <c r="I146" s="155"/>
      <c r="J146" s="155"/>
      <c r="K146" s="155"/>
      <c r="L146" s="155"/>
      <c r="M146" s="155"/>
      <c r="N146" s="155"/>
    </row>
    <row r="147" spans="1:14">
      <c r="A147" s="151"/>
      <c r="B147" s="152"/>
      <c r="C147" s="155"/>
      <c r="D147" s="155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</row>
    <row r="148" spans="1:14">
      <c r="A148" s="151"/>
      <c r="B148" s="152"/>
      <c r="C148" s="155"/>
      <c r="D148" s="155"/>
      <c r="E148" s="155"/>
      <c r="F148" s="155"/>
      <c r="G148" s="155"/>
      <c r="H148" s="155"/>
      <c r="I148" s="155"/>
      <c r="J148" s="155"/>
      <c r="K148" s="155"/>
      <c r="L148" s="155"/>
      <c r="M148" s="155"/>
      <c r="N148" s="155"/>
    </row>
    <row r="149" spans="1:14">
      <c r="A149" s="151"/>
      <c r="B149" s="152"/>
      <c r="C149" s="155"/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</row>
    <row r="150" spans="1:14">
      <c r="A150" s="151"/>
      <c r="B150" s="152"/>
      <c r="C150" s="155"/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</row>
    <row r="151" spans="1:14">
      <c r="A151" s="151"/>
      <c r="B151" s="152"/>
      <c r="C151" s="155"/>
      <c r="D151" s="155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</row>
    <row r="152" spans="1:14">
      <c r="A152" s="151"/>
      <c r="B152" s="152"/>
      <c r="C152" s="155"/>
      <c r="D152" s="155"/>
      <c r="E152" s="155"/>
      <c r="F152" s="155"/>
      <c r="G152" s="155"/>
      <c r="H152" s="155"/>
      <c r="I152" s="155"/>
      <c r="J152" s="155"/>
      <c r="K152" s="155"/>
      <c r="L152" s="155"/>
      <c r="M152" s="155"/>
      <c r="N152" s="155"/>
    </row>
    <row r="153" spans="1:14">
      <c r="A153" s="151"/>
      <c r="B153" s="152"/>
      <c r="C153" s="155"/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</row>
    <row r="154" spans="1:14">
      <c r="A154" s="151"/>
      <c r="B154" s="152"/>
      <c r="C154" s="155"/>
      <c r="D154" s="155"/>
      <c r="E154" s="155"/>
      <c r="F154" s="155"/>
      <c r="G154" s="155"/>
      <c r="H154" s="155"/>
      <c r="I154" s="155"/>
      <c r="J154" s="155"/>
      <c r="K154" s="155"/>
      <c r="L154" s="155"/>
      <c r="M154" s="155"/>
      <c r="N154" s="155"/>
    </row>
    <row r="155" spans="1:14">
      <c r="A155" s="151"/>
      <c r="B155" s="152"/>
      <c r="C155" s="155"/>
      <c r="D155" s="155"/>
      <c r="E155" s="155"/>
      <c r="F155" s="155"/>
      <c r="G155" s="155"/>
      <c r="H155" s="155"/>
      <c r="I155" s="155"/>
      <c r="J155" s="155"/>
      <c r="K155" s="155"/>
      <c r="L155" s="155"/>
      <c r="M155" s="155"/>
      <c r="N155" s="155"/>
    </row>
    <row r="156" spans="1:14">
      <c r="A156" s="151"/>
      <c r="B156" s="152"/>
      <c r="C156" s="155"/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</row>
    <row r="157" spans="1:14">
      <c r="A157" s="151"/>
      <c r="B157" s="152"/>
      <c r="C157" s="155"/>
      <c r="D157" s="155"/>
      <c r="E157" s="155"/>
      <c r="F157" s="155"/>
      <c r="G157" s="155"/>
      <c r="H157" s="155"/>
      <c r="I157" s="155"/>
      <c r="J157" s="155"/>
      <c r="K157" s="155"/>
      <c r="L157" s="155"/>
      <c r="M157" s="155"/>
      <c r="N157" s="155"/>
    </row>
    <row r="158" spans="1:14">
      <c r="A158" s="151"/>
      <c r="B158" s="152"/>
      <c r="C158" s="155"/>
      <c r="D158" s="155"/>
      <c r="E158" s="155"/>
      <c r="F158" s="155"/>
      <c r="G158" s="155"/>
      <c r="H158" s="155"/>
      <c r="I158" s="155"/>
      <c r="J158" s="155"/>
      <c r="K158" s="155"/>
      <c r="L158" s="155"/>
      <c r="M158" s="155"/>
      <c r="N158" s="155"/>
    </row>
    <row r="159" spans="1:14">
      <c r="A159" s="151"/>
      <c r="B159" s="152"/>
      <c r="C159" s="155"/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</row>
    <row r="160" spans="1:14">
      <c r="A160" s="151"/>
      <c r="B160" s="152"/>
      <c r="C160" s="155"/>
      <c r="D160" s="155"/>
      <c r="E160" s="155"/>
      <c r="F160" s="155"/>
      <c r="G160" s="155"/>
      <c r="H160" s="155"/>
      <c r="I160" s="155"/>
      <c r="J160" s="155"/>
      <c r="K160" s="155"/>
      <c r="L160" s="155"/>
      <c r="M160" s="155"/>
      <c r="N160" s="155"/>
    </row>
    <row r="161" spans="1:14">
      <c r="A161" s="151"/>
      <c r="B161" s="152"/>
      <c r="C161" s="155"/>
      <c r="D161" s="155"/>
      <c r="E161" s="155"/>
      <c r="F161" s="155"/>
      <c r="G161" s="155"/>
      <c r="H161" s="155"/>
      <c r="I161" s="155"/>
      <c r="J161" s="155"/>
      <c r="K161" s="155"/>
      <c r="L161" s="155"/>
      <c r="M161" s="155"/>
      <c r="N161" s="155"/>
    </row>
    <row r="162" spans="1:14">
      <c r="A162" s="151"/>
      <c r="B162" s="152"/>
      <c r="C162" s="155"/>
      <c r="D162" s="155"/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</row>
    <row r="163" spans="1:14">
      <c r="A163" s="151"/>
      <c r="B163" s="152"/>
      <c r="C163" s="155"/>
      <c r="D163" s="155"/>
      <c r="E163" s="155"/>
      <c r="F163" s="155"/>
      <c r="G163" s="155"/>
      <c r="H163" s="155"/>
      <c r="I163" s="155"/>
      <c r="J163" s="155"/>
      <c r="K163" s="155"/>
      <c r="L163" s="155"/>
      <c r="M163" s="155"/>
      <c r="N163" s="155"/>
    </row>
    <row r="164" spans="1:14">
      <c r="A164" s="151"/>
      <c r="B164" s="152"/>
      <c r="C164" s="155"/>
      <c r="D164" s="155"/>
      <c r="E164" s="155"/>
      <c r="F164" s="155"/>
      <c r="G164" s="155"/>
      <c r="H164" s="155"/>
      <c r="I164" s="155"/>
      <c r="J164" s="155"/>
      <c r="K164" s="155"/>
      <c r="L164" s="155"/>
      <c r="M164" s="155"/>
      <c r="N164" s="155"/>
    </row>
    <row r="165" spans="1:14">
      <c r="A165" s="151"/>
      <c r="B165" s="152"/>
      <c r="C165" s="155"/>
      <c r="D165" s="155"/>
      <c r="E165" s="155"/>
      <c r="F165" s="155"/>
      <c r="G165" s="155"/>
      <c r="H165" s="155"/>
      <c r="I165" s="155"/>
      <c r="J165" s="155"/>
      <c r="K165" s="155"/>
      <c r="L165" s="155"/>
      <c r="M165" s="155"/>
      <c r="N165" s="155"/>
    </row>
    <row r="166" spans="1:14">
      <c r="A166" s="151"/>
      <c r="B166" s="152"/>
      <c r="C166" s="155"/>
      <c r="D166" s="155"/>
      <c r="E166" s="155"/>
      <c r="F166" s="155"/>
      <c r="G166" s="155"/>
      <c r="H166" s="155"/>
      <c r="I166" s="155"/>
      <c r="J166" s="155"/>
      <c r="K166" s="155"/>
      <c r="L166" s="155"/>
      <c r="M166" s="155"/>
      <c r="N166" s="155"/>
    </row>
    <row r="167" spans="1:14">
      <c r="A167" s="151"/>
      <c r="B167" s="152"/>
      <c r="C167" s="155"/>
      <c r="D167" s="155"/>
      <c r="E167" s="155"/>
      <c r="F167" s="155"/>
      <c r="G167" s="155"/>
      <c r="H167" s="155"/>
      <c r="I167" s="155"/>
      <c r="J167" s="155"/>
      <c r="K167" s="155"/>
      <c r="L167" s="155"/>
      <c r="M167" s="155"/>
      <c r="N167" s="155"/>
    </row>
    <row r="168" spans="1:14">
      <c r="A168" s="151"/>
      <c r="B168" s="152"/>
      <c r="C168" s="155"/>
      <c r="D168" s="155"/>
      <c r="E168" s="155"/>
      <c r="F168" s="155"/>
      <c r="G168" s="155"/>
      <c r="H168" s="155"/>
      <c r="I168" s="155"/>
      <c r="J168" s="155"/>
      <c r="K168" s="155"/>
      <c r="L168" s="155"/>
      <c r="M168" s="155"/>
      <c r="N168" s="155"/>
    </row>
    <row r="169" spans="1:14">
      <c r="A169" s="151"/>
      <c r="B169" s="152"/>
      <c r="C169" s="155"/>
      <c r="D169" s="155"/>
      <c r="E169" s="155"/>
      <c r="F169" s="155"/>
      <c r="G169" s="155"/>
      <c r="H169" s="155"/>
      <c r="I169" s="155"/>
      <c r="J169" s="155"/>
      <c r="K169" s="155"/>
      <c r="L169" s="155"/>
      <c r="M169" s="155"/>
      <c r="N169" s="155"/>
    </row>
    <row r="170" spans="1:14">
      <c r="A170" s="151"/>
      <c r="B170" s="152"/>
      <c r="C170" s="155"/>
      <c r="D170" s="155"/>
      <c r="E170" s="155"/>
      <c r="F170" s="155"/>
      <c r="G170" s="155"/>
      <c r="H170" s="155"/>
      <c r="I170" s="155"/>
      <c r="J170" s="155"/>
      <c r="K170" s="155"/>
      <c r="L170" s="155"/>
      <c r="M170" s="155"/>
      <c r="N170" s="155"/>
    </row>
    <row r="171" spans="1:14">
      <c r="A171" s="151"/>
      <c r="B171" s="152"/>
      <c r="C171" s="155"/>
      <c r="D171" s="155"/>
      <c r="E171" s="155"/>
      <c r="F171" s="155"/>
      <c r="G171" s="155"/>
      <c r="H171" s="155"/>
      <c r="I171" s="155"/>
      <c r="J171" s="155"/>
      <c r="K171" s="155"/>
      <c r="L171" s="155"/>
      <c r="M171" s="155"/>
      <c r="N171" s="155"/>
    </row>
    <row r="172" spans="1:14">
      <c r="A172" s="151"/>
      <c r="B172" s="152"/>
      <c r="C172" s="155"/>
      <c r="D172" s="155"/>
      <c r="E172" s="155"/>
      <c r="F172" s="155"/>
      <c r="G172" s="155"/>
      <c r="H172" s="155"/>
      <c r="I172" s="155"/>
      <c r="J172" s="155"/>
      <c r="K172" s="155"/>
      <c r="L172" s="155"/>
      <c r="M172" s="155"/>
      <c r="N172" s="155"/>
    </row>
    <row r="173" spans="1:14">
      <c r="A173" s="151"/>
      <c r="B173" s="152"/>
      <c r="C173" s="155"/>
      <c r="D173" s="155"/>
      <c r="E173" s="155"/>
      <c r="F173" s="155"/>
      <c r="G173" s="155"/>
      <c r="H173" s="155"/>
      <c r="I173" s="155"/>
      <c r="J173" s="155"/>
      <c r="K173" s="155"/>
      <c r="L173" s="155"/>
      <c r="M173" s="155"/>
      <c r="N173" s="155"/>
    </row>
    <row r="174" spans="1:14">
      <c r="A174" s="151"/>
      <c r="B174" s="152"/>
      <c r="C174" s="155"/>
      <c r="D174" s="155"/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</row>
    <row r="175" spans="1:14">
      <c r="A175" s="151"/>
      <c r="B175" s="152"/>
      <c r="C175" s="155"/>
      <c r="D175" s="155"/>
      <c r="E175" s="155"/>
      <c r="F175" s="155"/>
      <c r="G175" s="155"/>
      <c r="H175" s="155"/>
      <c r="I175" s="155"/>
      <c r="J175" s="155"/>
      <c r="K175" s="155"/>
      <c r="L175" s="155"/>
      <c r="M175" s="155"/>
      <c r="N175" s="155"/>
    </row>
    <row r="176" spans="1:14">
      <c r="A176" s="151"/>
      <c r="B176" s="152"/>
      <c r="C176" s="155"/>
      <c r="D176" s="155"/>
      <c r="E176" s="155"/>
      <c r="F176" s="155"/>
      <c r="G176" s="155"/>
      <c r="H176" s="155"/>
      <c r="I176" s="155"/>
      <c r="J176" s="155"/>
      <c r="K176" s="155"/>
      <c r="L176" s="155"/>
      <c r="M176" s="155"/>
      <c r="N176" s="155"/>
    </row>
    <row r="177" spans="1:14">
      <c r="A177" s="151"/>
      <c r="B177" s="152"/>
      <c r="C177" s="155"/>
      <c r="D177" s="155"/>
      <c r="E177" s="155"/>
      <c r="F177" s="155"/>
      <c r="G177" s="155"/>
      <c r="H177" s="155"/>
      <c r="I177" s="155"/>
      <c r="J177" s="155"/>
      <c r="K177" s="155"/>
      <c r="L177" s="155"/>
      <c r="M177" s="155"/>
      <c r="N177" s="155"/>
    </row>
    <row r="178" spans="1:14">
      <c r="A178" s="151"/>
      <c r="B178" s="152"/>
      <c r="C178" s="155"/>
      <c r="D178" s="155"/>
      <c r="E178" s="155"/>
      <c r="F178" s="155"/>
      <c r="G178" s="155"/>
      <c r="H178" s="155"/>
      <c r="I178" s="155"/>
      <c r="J178" s="155"/>
      <c r="K178" s="155"/>
      <c r="L178" s="155"/>
      <c r="M178" s="155"/>
      <c r="N178" s="155"/>
    </row>
    <row r="179" spans="1:14">
      <c r="A179" s="151"/>
      <c r="B179" s="152"/>
      <c r="C179" s="155"/>
      <c r="D179" s="155"/>
      <c r="E179" s="155"/>
      <c r="F179" s="155"/>
      <c r="G179" s="155"/>
      <c r="H179" s="155"/>
      <c r="I179" s="155"/>
      <c r="J179" s="155"/>
      <c r="K179" s="155"/>
      <c r="L179" s="155"/>
      <c r="M179" s="155"/>
      <c r="N179" s="155"/>
    </row>
    <row r="180" spans="1:14">
      <c r="A180" s="151"/>
      <c r="B180" s="152"/>
      <c r="C180" s="155"/>
      <c r="D180" s="155"/>
      <c r="E180" s="155"/>
      <c r="F180" s="155"/>
      <c r="G180" s="155"/>
      <c r="H180" s="155"/>
      <c r="I180" s="155"/>
      <c r="J180" s="155"/>
      <c r="K180" s="155"/>
      <c r="L180" s="155"/>
      <c r="M180" s="155"/>
      <c r="N180" s="155"/>
    </row>
    <row r="181" spans="1:14">
      <c r="A181" s="151"/>
      <c r="B181" s="152"/>
      <c r="C181" s="155"/>
      <c r="D181" s="155"/>
      <c r="E181" s="155"/>
      <c r="F181" s="155"/>
      <c r="G181" s="155"/>
      <c r="H181" s="155"/>
      <c r="I181" s="155"/>
      <c r="J181" s="155"/>
      <c r="K181" s="155"/>
      <c r="L181" s="155"/>
      <c r="M181" s="155"/>
      <c r="N181" s="155"/>
    </row>
    <row r="182" spans="1:14">
      <c r="A182" s="151"/>
      <c r="B182" s="152"/>
      <c r="C182" s="155"/>
      <c r="D182" s="155"/>
      <c r="E182" s="155"/>
      <c r="F182" s="155"/>
      <c r="G182" s="155"/>
      <c r="H182" s="155"/>
      <c r="I182" s="155"/>
      <c r="J182" s="155"/>
      <c r="K182" s="155"/>
      <c r="L182" s="155"/>
      <c r="M182" s="155"/>
      <c r="N182" s="155"/>
    </row>
    <row r="183" spans="1:14">
      <c r="A183" s="151"/>
      <c r="B183" s="152"/>
      <c r="C183" s="155"/>
      <c r="D183" s="155"/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</row>
    <row r="184" spans="1:14">
      <c r="A184" s="151"/>
      <c r="B184" s="152"/>
      <c r="C184" s="155"/>
      <c r="D184" s="155"/>
      <c r="E184" s="155"/>
      <c r="F184" s="155"/>
      <c r="G184" s="155"/>
      <c r="H184" s="155"/>
      <c r="I184" s="155"/>
      <c r="J184" s="155"/>
      <c r="K184" s="155"/>
      <c r="L184" s="155"/>
      <c r="M184" s="155"/>
      <c r="N184" s="155"/>
    </row>
    <row r="185" spans="1:14">
      <c r="A185" s="151"/>
      <c r="B185" s="152"/>
      <c r="C185" s="155"/>
      <c r="D185" s="155"/>
      <c r="E185" s="155"/>
      <c r="F185" s="155"/>
      <c r="G185" s="155"/>
      <c r="H185" s="155"/>
      <c r="I185" s="155"/>
      <c r="J185" s="155"/>
      <c r="K185" s="155"/>
      <c r="L185" s="155"/>
      <c r="M185" s="155"/>
      <c r="N185" s="155"/>
    </row>
    <row r="186" spans="1:14">
      <c r="A186" s="151"/>
      <c r="B186" s="152"/>
      <c r="C186" s="155"/>
      <c r="D186" s="155"/>
      <c r="E186" s="155"/>
      <c r="F186" s="155"/>
      <c r="G186" s="155"/>
      <c r="H186" s="155"/>
      <c r="I186" s="155"/>
      <c r="J186" s="155"/>
      <c r="K186" s="155"/>
      <c r="L186" s="155"/>
      <c r="M186" s="155"/>
      <c r="N186" s="155"/>
    </row>
    <row r="187" spans="1:14">
      <c r="A187" s="151"/>
      <c r="B187" s="152"/>
      <c r="C187" s="155"/>
      <c r="D187" s="155"/>
      <c r="E187" s="155"/>
      <c r="F187" s="155"/>
      <c r="G187" s="155"/>
      <c r="H187" s="155"/>
      <c r="I187" s="155"/>
      <c r="J187" s="155"/>
      <c r="K187" s="155"/>
      <c r="L187" s="155"/>
      <c r="M187" s="155"/>
      <c r="N187" s="155"/>
    </row>
    <row r="188" spans="1:14">
      <c r="A188" s="151"/>
      <c r="B188" s="152"/>
      <c r="C188" s="155"/>
      <c r="D188" s="155"/>
      <c r="E188" s="155"/>
      <c r="F188" s="155"/>
      <c r="G188" s="155"/>
      <c r="H188" s="155"/>
      <c r="I188" s="155"/>
      <c r="J188" s="155"/>
      <c r="K188" s="155"/>
      <c r="L188" s="155"/>
      <c r="M188" s="155"/>
      <c r="N188" s="155"/>
    </row>
    <row r="189" spans="1:14">
      <c r="A189" s="151"/>
      <c r="B189" s="152"/>
      <c r="C189" s="155"/>
      <c r="D189" s="155"/>
      <c r="E189" s="155"/>
      <c r="F189" s="155"/>
      <c r="G189" s="155"/>
      <c r="H189" s="155"/>
      <c r="I189" s="155"/>
      <c r="J189" s="155"/>
      <c r="K189" s="155"/>
      <c r="L189" s="155"/>
      <c r="M189" s="155"/>
      <c r="N189" s="155"/>
    </row>
    <row r="190" spans="1:14">
      <c r="A190" s="151"/>
      <c r="B190" s="152"/>
      <c r="C190" s="155"/>
      <c r="D190" s="155"/>
      <c r="E190" s="155"/>
      <c r="F190" s="155"/>
      <c r="G190" s="155"/>
      <c r="H190" s="155"/>
      <c r="I190" s="155"/>
      <c r="J190" s="155"/>
      <c r="K190" s="155"/>
      <c r="L190" s="155"/>
      <c r="M190" s="155"/>
      <c r="N190" s="155"/>
    </row>
    <row r="191" spans="1:14">
      <c r="A191" s="151"/>
      <c r="B191" s="152"/>
      <c r="C191" s="155"/>
      <c r="D191" s="155"/>
      <c r="E191" s="155"/>
      <c r="F191" s="155"/>
      <c r="G191" s="155"/>
      <c r="H191" s="155"/>
      <c r="I191" s="155"/>
      <c r="J191" s="155"/>
      <c r="K191" s="155"/>
      <c r="L191" s="155"/>
      <c r="M191" s="155"/>
      <c r="N191" s="155"/>
    </row>
    <row r="192" spans="1:14">
      <c r="A192" s="151"/>
      <c r="B192" s="152"/>
      <c r="C192" s="155"/>
      <c r="D192" s="155"/>
      <c r="E192" s="155"/>
      <c r="F192" s="155"/>
      <c r="G192" s="155"/>
      <c r="H192" s="155"/>
      <c r="I192" s="155"/>
      <c r="J192" s="155"/>
      <c r="K192" s="155"/>
      <c r="L192" s="155"/>
      <c r="M192" s="155"/>
      <c r="N192" s="155"/>
    </row>
    <row r="193" spans="1:14">
      <c r="A193" s="151"/>
      <c r="B193" s="152"/>
      <c r="C193" s="155"/>
      <c r="D193" s="155"/>
      <c r="E193" s="155"/>
      <c r="F193" s="155"/>
      <c r="G193" s="155"/>
      <c r="H193" s="155"/>
      <c r="I193" s="155"/>
      <c r="J193" s="155"/>
      <c r="K193" s="155"/>
      <c r="L193" s="155"/>
      <c r="M193" s="155"/>
      <c r="N193" s="155"/>
    </row>
    <row r="194" spans="1:14">
      <c r="A194" s="151"/>
      <c r="B194" s="152"/>
      <c r="C194" s="155"/>
      <c r="D194" s="155"/>
      <c r="E194" s="155"/>
      <c r="F194" s="155"/>
      <c r="G194" s="155"/>
      <c r="H194" s="155"/>
      <c r="I194" s="155"/>
      <c r="J194" s="155"/>
      <c r="K194" s="155"/>
      <c r="L194" s="155"/>
      <c r="M194" s="155"/>
      <c r="N194" s="155"/>
    </row>
    <row r="195" spans="1:14">
      <c r="A195" s="151"/>
      <c r="B195" s="152"/>
      <c r="C195" s="155"/>
      <c r="D195" s="155"/>
      <c r="E195" s="155"/>
      <c r="F195" s="155"/>
      <c r="G195" s="155"/>
      <c r="H195" s="155"/>
      <c r="I195" s="155"/>
      <c r="J195" s="155"/>
      <c r="K195" s="155"/>
      <c r="L195" s="155"/>
      <c r="M195" s="155"/>
      <c r="N195" s="155"/>
    </row>
    <row r="196" spans="1:14">
      <c r="A196" s="151"/>
      <c r="B196" s="152"/>
      <c r="C196" s="155"/>
      <c r="D196" s="155"/>
      <c r="E196" s="155"/>
      <c r="F196" s="155"/>
      <c r="G196" s="155"/>
      <c r="H196" s="155"/>
      <c r="I196" s="155"/>
      <c r="J196" s="155"/>
      <c r="K196" s="155"/>
      <c r="L196" s="155"/>
      <c r="M196" s="155"/>
      <c r="N196" s="155"/>
    </row>
    <row r="197" spans="1:14">
      <c r="A197" s="151"/>
      <c r="B197" s="152"/>
      <c r="C197" s="155"/>
      <c r="D197" s="155"/>
      <c r="E197" s="155"/>
      <c r="F197" s="155"/>
      <c r="G197" s="155"/>
      <c r="H197" s="155"/>
      <c r="I197" s="155"/>
      <c r="J197" s="155"/>
      <c r="K197" s="155"/>
      <c r="L197" s="155"/>
      <c r="M197" s="155"/>
      <c r="N197" s="155"/>
    </row>
    <row r="198" spans="1:14">
      <c r="A198" s="151"/>
      <c r="B198" s="152"/>
      <c r="C198" s="155"/>
      <c r="D198" s="155"/>
      <c r="E198" s="155"/>
      <c r="F198" s="155"/>
      <c r="G198" s="155"/>
      <c r="H198" s="155"/>
      <c r="I198" s="155"/>
      <c r="J198" s="155"/>
      <c r="K198" s="155"/>
      <c r="L198" s="155"/>
      <c r="M198" s="155"/>
      <c r="N198" s="155"/>
    </row>
    <row r="199" spans="1:14">
      <c r="A199" s="151"/>
      <c r="B199" s="152"/>
      <c r="C199" s="155"/>
      <c r="D199" s="155"/>
      <c r="E199" s="155"/>
      <c r="F199" s="155"/>
      <c r="G199" s="155"/>
      <c r="H199" s="155"/>
      <c r="I199" s="155"/>
      <c r="J199" s="155"/>
      <c r="K199" s="155"/>
      <c r="L199" s="155"/>
      <c r="M199" s="155"/>
      <c r="N199" s="155"/>
    </row>
    <row r="200" spans="1:14">
      <c r="A200" s="151"/>
      <c r="B200" s="152"/>
      <c r="C200" s="155"/>
      <c r="D200" s="155"/>
      <c r="E200" s="155"/>
      <c r="F200" s="155"/>
      <c r="G200" s="155"/>
      <c r="H200" s="155"/>
      <c r="I200" s="155"/>
      <c r="J200" s="155"/>
      <c r="K200" s="155"/>
      <c r="L200" s="155"/>
      <c r="M200" s="155"/>
      <c r="N200" s="155"/>
    </row>
    <row r="201" spans="1:14">
      <c r="A201" s="151"/>
      <c r="B201" s="152"/>
      <c r="C201" s="155"/>
      <c r="D201" s="155"/>
      <c r="E201" s="155"/>
      <c r="F201" s="155"/>
      <c r="G201" s="155"/>
      <c r="H201" s="155"/>
      <c r="I201" s="155"/>
      <c r="J201" s="155"/>
      <c r="K201" s="155"/>
      <c r="L201" s="155"/>
      <c r="M201" s="155"/>
      <c r="N201" s="155"/>
    </row>
    <row r="202" spans="1:14">
      <c r="A202" s="151"/>
      <c r="B202" s="152"/>
      <c r="C202" s="155"/>
      <c r="D202" s="155"/>
      <c r="E202" s="155"/>
      <c r="F202" s="155"/>
      <c r="G202" s="155"/>
      <c r="H202" s="155"/>
      <c r="I202" s="155"/>
      <c r="J202" s="155"/>
      <c r="K202" s="155"/>
      <c r="L202" s="155"/>
      <c r="M202" s="155"/>
      <c r="N202" s="155"/>
    </row>
    <row r="203" spans="1:14">
      <c r="A203" s="151"/>
      <c r="B203" s="152"/>
      <c r="C203" s="155"/>
      <c r="D203" s="155"/>
      <c r="E203" s="155"/>
      <c r="F203" s="155"/>
      <c r="G203" s="155"/>
      <c r="H203" s="155"/>
      <c r="I203" s="155"/>
      <c r="J203" s="155"/>
      <c r="K203" s="155"/>
      <c r="L203" s="155"/>
      <c r="M203" s="155"/>
      <c r="N203" s="155"/>
    </row>
    <row r="204" spans="1:14">
      <c r="A204" s="151"/>
      <c r="B204" s="152"/>
      <c r="C204" s="155"/>
      <c r="D204" s="155"/>
      <c r="E204" s="155"/>
      <c r="F204" s="155"/>
      <c r="G204" s="155"/>
      <c r="H204" s="155"/>
      <c r="I204" s="155"/>
      <c r="J204" s="155"/>
      <c r="K204" s="155"/>
      <c r="L204" s="155"/>
      <c r="M204" s="155"/>
      <c r="N204" s="155"/>
    </row>
    <row r="205" spans="1:14">
      <c r="A205" s="151"/>
      <c r="B205" s="152"/>
      <c r="C205" s="155"/>
      <c r="D205" s="155"/>
      <c r="E205" s="155"/>
      <c r="F205" s="155"/>
      <c r="G205" s="155"/>
      <c r="H205" s="155"/>
      <c r="I205" s="155"/>
      <c r="J205" s="155"/>
      <c r="K205" s="155"/>
      <c r="L205" s="155"/>
      <c r="M205" s="155"/>
      <c r="N205" s="155"/>
    </row>
    <row r="206" spans="1:14">
      <c r="A206" s="151"/>
      <c r="B206" s="152"/>
      <c r="C206" s="155"/>
      <c r="D206" s="155"/>
      <c r="E206" s="155"/>
      <c r="F206" s="155"/>
      <c r="G206" s="155"/>
      <c r="H206" s="155"/>
      <c r="I206" s="155"/>
      <c r="J206" s="155"/>
      <c r="K206" s="155"/>
      <c r="L206" s="155"/>
      <c r="M206" s="155"/>
      <c r="N206" s="155"/>
    </row>
    <row r="207" spans="1:14">
      <c r="A207" s="151"/>
      <c r="B207" s="152"/>
      <c r="C207" s="155"/>
      <c r="D207" s="155"/>
      <c r="E207" s="155"/>
      <c r="F207" s="155"/>
      <c r="G207" s="155"/>
      <c r="H207" s="155"/>
      <c r="I207" s="155"/>
      <c r="J207" s="155"/>
      <c r="K207" s="155"/>
      <c r="L207" s="155"/>
      <c r="M207" s="155"/>
      <c r="N207" s="155"/>
    </row>
    <row r="208" spans="1:14">
      <c r="A208" s="151"/>
      <c r="B208" s="152"/>
      <c r="C208" s="155"/>
      <c r="D208" s="155"/>
      <c r="E208" s="155"/>
      <c r="F208" s="155"/>
      <c r="G208" s="155"/>
      <c r="H208" s="155"/>
      <c r="I208" s="155"/>
      <c r="J208" s="155"/>
      <c r="K208" s="155"/>
      <c r="L208" s="155"/>
      <c r="M208" s="155"/>
      <c r="N208" s="155"/>
    </row>
    <row r="209" spans="1:14">
      <c r="A209" s="151"/>
      <c r="B209" s="152"/>
      <c r="C209" s="155"/>
      <c r="D209" s="155"/>
      <c r="E209" s="155"/>
      <c r="F209" s="155"/>
      <c r="G209" s="155"/>
      <c r="H209" s="155"/>
      <c r="I209" s="155"/>
      <c r="J209" s="155"/>
      <c r="K209" s="155"/>
      <c r="L209" s="155"/>
      <c r="M209" s="155"/>
      <c r="N209" s="155"/>
    </row>
    <row r="210" spans="1:14">
      <c r="A210" s="151"/>
      <c r="B210" s="152"/>
      <c r="C210" s="155"/>
      <c r="D210" s="155"/>
      <c r="E210" s="155"/>
      <c r="F210" s="155"/>
      <c r="G210" s="155"/>
      <c r="H210" s="155"/>
      <c r="I210" s="155"/>
      <c r="J210" s="155"/>
      <c r="K210" s="155"/>
      <c r="L210" s="155"/>
      <c r="M210" s="155"/>
      <c r="N210" s="155"/>
    </row>
    <row r="211" spans="1:14">
      <c r="A211" s="151"/>
      <c r="B211" s="152"/>
      <c r="C211" s="155"/>
      <c r="D211" s="155"/>
      <c r="E211" s="155"/>
      <c r="F211" s="155"/>
      <c r="G211" s="155"/>
      <c r="H211" s="155"/>
      <c r="I211" s="155"/>
      <c r="J211" s="155"/>
      <c r="K211" s="155"/>
      <c r="L211" s="155"/>
      <c r="M211" s="155"/>
      <c r="N211" s="155"/>
    </row>
    <row r="212" spans="1:14">
      <c r="A212" s="151"/>
      <c r="B212" s="152"/>
      <c r="C212" s="155"/>
      <c r="D212" s="155"/>
      <c r="E212" s="155"/>
      <c r="F212" s="155"/>
      <c r="G212" s="155"/>
      <c r="H212" s="155"/>
      <c r="I212" s="155"/>
      <c r="J212" s="155"/>
      <c r="K212" s="155"/>
      <c r="L212" s="155"/>
      <c r="M212" s="155"/>
      <c r="N212" s="155"/>
    </row>
    <row r="213" spans="1:14">
      <c r="A213" s="151"/>
      <c r="B213" s="152"/>
      <c r="C213" s="155"/>
      <c r="D213" s="155"/>
      <c r="E213" s="155"/>
      <c r="F213" s="155"/>
      <c r="G213" s="155"/>
      <c r="H213" s="155"/>
      <c r="I213" s="155"/>
      <c r="J213" s="155"/>
      <c r="K213" s="155"/>
      <c r="L213" s="155"/>
      <c r="M213" s="155"/>
      <c r="N213" s="155"/>
    </row>
    <row r="214" spans="1:14">
      <c r="A214" s="151"/>
      <c r="B214" s="152"/>
      <c r="C214" s="155"/>
      <c r="D214" s="155"/>
      <c r="E214" s="155"/>
      <c r="F214" s="155"/>
      <c r="G214" s="155"/>
      <c r="H214" s="155"/>
      <c r="I214" s="155"/>
      <c r="J214" s="155"/>
      <c r="K214" s="155"/>
      <c r="L214" s="155"/>
      <c r="M214" s="155"/>
      <c r="N214" s="155"/>
    </row>
    <row r="215" spans="1:14">
      <c r="A215" s="151"/>
      <c r="B215" s="152"/>
      <c r="C215" s="155"/>
      <c r="D215" s="155"/>
      <c r="E215" s="155"/>
      <c r="F215" s="155"/>
      <c r="G215" s="155"/>
      <c r="H215" s="155"/>
      <c r="I215" s="155"/>
      <c r="J215" s="155"/>
      <c r="K215" s="155"/>
      <c r="L215" s="155"/>
      <c r="M215" s="155"/>
      <c r="N215" s="155"/>
    </row>
    <row r="216" spans="1:14">
      <c r="A216" s="151"/>
      <c r="B216" s="152"/>
      <c r="C216" s="155"/>
      <c r="D216" s="155"/>
      <c r="E216" s="155"/>
      <c r="F216" s="155"/>
      <c r="G216" s="155"/>
      <c r="H216" s="155"/>
      <c r="I216" s="155"/>
      <c r="J216" s="155"/>
      <c r="K216" s="155"/>
      <c r="L216" s="155"/>
      <c r="M216" s="155"/>
      <c r="N216" s="155"/>
    </row>
    <row r="217" spans="1:14">
      <c r="A217" s="151"/>
      <c r="B217" s="152"/>
      <c r="C217" s="155"/>
      <c r="D217" s="155"/>
      <c r="E217" s="155"/>
      <c r="F217" s="155"/>
      <c r="G217" s="155"/>
      <c r="H217" s="155"/>
      <c r="I217" s="155"/>
      <c r="J217" s="155"/>
      <c r="K217" s="155"/>
      <c r="L217" s="155"/>
      <c r="M217" s="155"/>
      <c r="N217" s="155"/>
    </row>
    <row r="218" spans="1:14">
      <c r="A218" s="151"/>
      <c r="B218" s="152"/>
      <c r="C218" s="155"/>
      <c r="D218" s="155"/>
      <c r="E218" s="155"/>
      <c r="F218" s="155"/>
      <c r="G218" s="155"/>
      <c r="H218" s="155"/>
      <c r="I218" s="155"/>
      <c r="J218" s="155"/>
      <c r="K218" s="155"/>
      <c r="L218" s="155"/>
      <c r="M218" s="155"/>
      <c r="N218" s="155"/>
    </row>
    <row r="219" spans="1:14">
      <c r="A219" s="151"/>
      <c r="B219" s="152"/>
      <c r="C219" s="155"/>
      <c r="D219" s="155"/>
      <c r="E219" s="155"/>
      <c r="F219" s="155"/>
      <c r="G219" s="155"/>
      <c r="H219" s="155"/>
      <c r="I219" s="155"/>
      <c r="J219" s="155"/>
      <c r="K219" s="155"/>
      <c r="L219" s="155"/>
      <c r="M219" s="155"/>
      <c r="N219" s="155"/>
    </row>
    <row r="220" spans="1:14">
      <c r="A220" s="151"/>
      <c r="B220" s="152"/>
      <c r="C220" s="155"/>
      <c r="D220" s="155"/>
      <c r="E220" s="155"/>
      <c r="F220" s="155"/>
      <c r="G220" s="155"/>
      <c r="H220" s="155"/>
      <c r="I220" s="155"/>
      <c r="J220" s="155"/>
      <c r="K220" s="155"/>
      <c r="L220" s="155"/>
      <c r="M220" s="155"/>
      <c r="N220" s="155"/>
    </row>
    <row r="221" spans="1:14">
      <c r="A221" s="151"/>
      <c r="B221" s="152"/>
      <c r="C221" s="155"/>
      <c r="D221" s="155"/>
      <c r="E221" s="155"/>
      <c r="F221" s="155"/>
      <c r="G221" s="155"/>
      <c r="H221" s="155"/>
      <c r="I221" s="155"/>
      <c r="J221" s="155"/>
      <c r="K221" s="155"/>
      <c r="L221" s="155"/>
      <c r="M221" s="155"/>
      <c r="N221" s="155"/>
    </row>
    <row r="222" spans="1:14">
      <c r="A222" s="151"/>
      <c r="B222" s="152"/>
      <c r="C222" s="155"/>
      <c r="D222" s="155"/>
      <c r="E222" s="155"/>
      <c r="F222" s="155"/>
      <c r="G222" s="155"/>
      <c r="H222" s="155"/>
      <c r="I222" s="155"/>
      <c r="J222" s="155"/>
      <c r="K222" s="155"/>
      <c r="L222" s="155"/>
      <c r="M222" s="155"/>
      <c r="N222" s="155"/>
    </row>
    <row r="223" spans="1:14">
      <c r="A223" s="151"/>
      <c r="B223" s="152"/>
      <c r="C223" s="155"/>
      <c r="D223" s="155"/>
      <c r="E223" s="155"/>
      <c r="F223" s="155"/>
      <c r="G223" s="155"/>
      <c r="H223" s="155"/>
      <c r="I223" s="155"/>
      <c r="J223" s="155"/>
      <c r="K223" s="155"/>
      <c r="L223" s="155"/>
      <c r="M223" s="155"/>
      <c r="N223" s="155"/>
    </row>
    <row r="224" spans="1:14">
      <c r="A224" s="151"/>
      <c r="B224" s="152"/>
      <c r="C224" s="155"/>
      <c r="D224" s="155"/>
      <c r="E224" s="155"/>
      <c r="F224" s="155"/>
      <c r="G224" s="155"/>
      <c r="H224" s="155"/>
      <c r="I224" s="155"/>
      <c r="J224" s="155"/>
      <c r="K224" s="155"/>
      <c r="L224" s="155"/>
      <c r="M224" s="155"/>
      <c r="N224" s="155"/>
    </row>
    <row r="225" spans="1:14">
      <c r="A225" s="151"/>
      <c r="B225" s="152"/>
      <c r="C225" s="155"/>
      <c r="D225" s="155"/>
      <c r="E225" s="155"/>
      <c r="F225" s="155"/>
      <c r="G225" s="155"/>
      <c r="H225" s="155"/>
      <c r="I225" s="155"/>
      <c r="J225" s="155"/>
      <c r="K225" s="155"/>
      <c r="L225" s="155"/>
      <c r="M225" s="155"/>
      <c r="N225" s="155"/>
    </row>
    <row r="226" spans="1:14">
      <c r="A226" s="151"/>
      <c r="B226" s="152"/>
      <c r="C226" s="155"/>
      <c r="D226" s="155"/>
      <c r="E226" s="155"/>
      <c r="F226" s="155"/>
      <c r="G226" s="155"/>
      <c r="H226" s="155"/>
      <c r="I226" s="155"/>
      <c r="J226" s="155"/>
      <c r="K226" s="155"/>
      <c r="L226" s="155"/>
      <c r="M226" s="155"/>
      <c r="N226" s="155"/>
    </row>
    <row r="227" spans="1:14">
      <c r="A227" s="151"/>
      <c r="B227" s="152"/>
      <c r="C227" s="155"/>
      <c r="D227" s="155"/>
      <c r="E227" s="155"/>
      <c r="F227" s="155"/>
      <c r="G227" s="155"/>
      <c r="H227" s="155"/>
      <c r="I227" s="155"/>
      <c r="J227" s="155"/>
      <c r="K227" s="155"/>
      <c r="L227" s="155"/>
      <c r="M227" s="155"/>
      <c r="N227" s="155"/>
    </row>
    <row r="228" spans="1:14">
      <c r="A228" s="151"/>
      <c r="B228" s="152"/>
      <c r="C228" s="155"/>
      <c r="D228" s="155"/>
      <c r="E228" s="155"/>
      <c r="F228" s="155"/>
      <c r="G228" s="155"/>
      <c r="H228" s="155"/>
      <c r="I228" s="155"/>
      <c r="J228" s="155"/>
      <c r="K228" s="155"/>
      <c r="L228" s="155"/>
      <c r="M228" s="155"/>
      <c r="N228" s="155"/>
    </row>
    <row r="229" spans="1:14">
      <c r="A229" s="151"/>
      <c r="B229" s="152"/>
      <c r="C229" s="155"/>
      <c r="D229" s="155"/>
      <c r="E229" s="155"/>
      <c r="F229" s="155"/>
      <c r="G229" s="155"/>
      <c r="H229" s="155"/>
      <c r="I229" s="155"/>
      <c r="J229" s="155"/>
      <c r="K229" s="155"/>
      <c r="L229" s="155"/>
      <c r="M229" s="155"/>
      <c r="N229" s="155"/>
    </row>
    <row r="230" spans="1:14">
      <c r="A230" s="151"/>
      <c r="B230" s="152"/>
      <c r="C230" s="155"/>
      <c r="D230" s="155"/>
      <c r="E230" s="155"/>
      <c r="F230" s="155"/>
      <c r="G230" s="155"/>
      <c r="H230" s="155"/>
      <c r="I230" s="155"/>
      <c r="J230" s="155"/>
      <c r="K230" s="155"/>
      <c r="L230" s="155"/>
      <c r="M230" s="155"/>
      <c r="N230" s="155"/>
    </row>
    <row r="231" spans="1:14">
      <c r="A231" s="151"/>
      <c r="B231" s="152"/>
      <c r="C231" s="155"/>
      <c r="D231" s="155"/>
      <c r="E231" s="155"/>
      <c r="F231" s="155"/>
      <c r="G231" s="155"/>
      <c r="H231" s="155"/>
      <c r="I231" s="155"/>
      <c r="J231" s="155"/>
      <c r="K231" s="155"/>
      <c r="L231" s="155"/>
      <c r="M231" s="155"/>
      <c r="N231" s="155"/>
    </row>
    <row r="232" spans="1:14">
      <c r="A232" s="151"/>
      <c r="B232" s="152"/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</row>
    <row r="233" spans="1:14">
      <c r="A233" s="151"/>
      <c r="B233" s="152"/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</row>
    <row r="234" spans="1:14">
      <c r="A234" s="151"/>
      <c r="B234" s="152"/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</row>
    <row r="235" spans="1:14">
      <c r="A235" s="151"/>
      <c r="B235" s="152"/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</row>
    <row r="236" spans="1:14">
      <c r="A236" s="151"/>
      <c r="B236" s="152"/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</row>
    <row r="237" spans="1:14">
      <c r="A237" s="151"/>
      <c r="B237" s="152"/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</row>
    <row r="238" spans="1:14">
      <c r="A238" s="151"/>
      <c r="B238" s="152"/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</row>
    <row r="239" spans="1:14">
      <c r="A239" s="151"/>
      <c r="B239" s="152"/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</row>
    <row r="240" spans="1:14">
      <c r="A240" s="151"/>
      <c r="B240" s="152"/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</row>
    <row r="241" spans="1:14">
      <c r="A241" s="151"/>
      <c r="B241" s="152"/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</row>
    <row r="242" spans="1:14">
      <c r="A242" s="151"/>
      <c r="B242" s="152"/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</row>
    <row r="243" spans="1:14">
      <c r="A243" s="151"/>
      <c r="B243" s="152"/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</row>
    <row r="244" spans="1:14">
      <c r="A244" s="151"/>
      <c r="B244" s="152"/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</row>
    <row r="245" spans="1:14">
      <c r="A245" s="151"/>
      <c r="B245" s="152"/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</row>
    <row r="246" spans="1:14">
      <c r="A246" s="151"/>
      <c r="B246" s="152"/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</row>
    <row r="247" spans="1:14">
      <c r="A247" s="151"/>
      <c r="B247" s="152"/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</row>
    <row r="248" spans="1:14">
      <c r="A248" s="151"/>
      <c r="B248" s="152"/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</row>
    <row r="249" spans="1:14">
      <c r="A249" s="151"/>
      <c r="B249" s="152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</row>
    <row r="250" spans="1:14">
      <c r="A250" s="151"/>
      <c r="B250" s="152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</row>
    <row r="251" spans="1:14">
      <c r="A251" s="151"/>
      <c r="B251" s="152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</row>
    <row r="252" spans="1:14">
      <c r="A252" s="151"/>
      <c r="B252" s="152"/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</row>
    <row r="253" spans="1:14">
      <c r="A253" s="151"/>
      <c r="B253" s="152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</row>
    <row r="254" spans="1:14">
      <c r="A254" s="151"/>
      <c r="B254" s="152"/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</row>
    <row r="255" spans="1:14">
      <c r="A255" s="151"/>
      <c r="B255" s="152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</row>
    <row r="256" spans="1:14">
      <c r="A256" s="151"/>
      <c r="B256" s="152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</row>
    <row r="257" spans="1:14">
      <c r="A257" s="151"/>
      <c r="B257" s="152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</row>
    <row r="258" spans="1:14">
      <c r="A258" s="151"/>
      <c r="B258" s="152"/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</row>
    <row r="259" spans="1:14">
      <c r="A259" s="151"/>
      <c r="B259" s="152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</row>
    <row r="260" spans="1:14">
      <c r="A260" s="151"/>
      <c r="B260" s="152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</row>
    <row r="261" spans="1:14">
      <c r="A261" s="151"/>
      <c r="B261" s="152"/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</row>
    <row r="262" spans="1:14">
      <c r="A262" s="151"/>
      <c r="B262" s="152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</row>
    <row r="263" spans="1:14">
      <c r="A263" s="151"/>
      <c r="B263" s="152"/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</row>
    <row r="264" spans="1:14">
      <c r="A264" s="151"/>
      <c r="B264" s="152"/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</row>
    <row r="265" spans="1:14">
      <c r="A265" s="151"/>
      <c r="B265" s="152"/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</row>
    <row r="266" spans="1:14">
      <c r="A266" s="151"/>
      <c r="B266" s="152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</row>
    <row r="267" spans="1:14">
      <c r="A267" s="151"/>
      <c r="B267" s="152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</row>
    <row r="268" spans="1:14">
      <c r="A268" s="151"/>
      <c r="B268" s="152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</row>
    <row r="269" spans="1:14">
      <c r="A269" s="151"/>
      <c r="B269" s="152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</row>
    <row r="270" spans="1:14">
      <c r="A270" s="151"/>
      <c r="B270" s="152"/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</row>
    <row r="271" spans="1:14">
      <c r="A271" s="151"/>
      <c r="B271" s="152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</row>
    <row r="272" spans="1:14">
      <c r="A272" s="151"/>
      <c r="B272" s="152"/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</row>
    <row r="273" spans="1:14">
      <c r="A273" s="151"/>
      <c r="B273" s="152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</row>
    <row r="274" spans="1:14">
      <c r="A274" s="151"/>
      <c r="B274" s="152"/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</row>
    <row r="275" spans="1:14">
      <c r="A275" s="151"/>
      <c r="B275" s="152"/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</row>
    <row r="276" spans="1:14">
      <c r="A276" s="151"/>
      <c r="B276" s="152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</row>
    <row r="277" spans="1:14">
      <c r="A277" s="151"/>
      <c r="B277" s="152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</row>
    <row r="278" spans="1:14">
      <c r="A278" s="151"/>
      <c r="B278" s="152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</row>
    <row r="279" spans="1:14">
      <c r="A279" s="151"/>
      <c r="B279" s="152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</row>
    <row r="280" spans="1:14">
      <c r="A280" s="151"/>
      <c r="B280" s="152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</row>
    <row r="281" spans="1:14">
      <c r="A281" s="151"/>
      <c r="B281" s="152"/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</row>
    <row r="282" spans="1:14">
      <c r="A282" s="151"/>
      <c r="B282" s="152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</row>
    <row r="283" spans="1:14">
      <c r="A283" s="151"/>
      <c r="B283" s="152"/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</row>
    <row r="284" spans="1:14">
      <c r="A284" s="151"/>
      <c r="B284" s="152"/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</row>
    <row r="285" spans="1:14">
      <c r="A285" s="151"/>
      <c r="B285" s="152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</row>
    <row r="286" spans="1:14">
      <c r="A286" s="151"/>
      <c r="B286" s="152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</row>
    <row r="287" spans="1:14">
      <c r="A287" s="151"/>
      <c r="B287" s="152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</row>
    <row r="288" spans="1:14">
      <c r="A288" s="151"/>
      <c r="B288" s="152"/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</row>
    <row r="289" spans="1:14">
      <c r="A289" s="151"/>
      <c r="B289" s="152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</row>
    <row r="290" spans="1:14">
      <c r="A290" s="151"/>
      <c r="B290" s="152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</row>
    <row r="291" spans="1:14">
      <c r="A291" s="151"/>
      <c r="B291" s="152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</row>
    <row r="292" spans="1:14">
      <c r="A292" s="151"/>
      <c r="B292" s="152"/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</row>
    <row r="293" spans="1:14">
      <c r="A293" s="151"/>
      <c r="B293" s="152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</row>
    <row r="294" spans="1:14">
      <c r="A294" s="151"/>
      <c r="B294" s="152"/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</row>
    <row r="295" spans="1:14">
      <c r="A295" s="151"/>
      <c r="B295" s="152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</row>
    <row r="296" spans="1:14">
      <c r="A296" s="151"/>
      <c r="B296" s="152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</row>
    <row r="297" spans="1:14">
      <c r="A297" s="151"/>
      <c r="B297" s="152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</row>
    <row r="298" spans="1:14">
      <c r="A298" s="151"/>
      <c r="B298" s="152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</row>
    <row r="299" spans="1:14">
      <c r="A299" s="151"/>
      <c r="B299" s="152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</row>
    <row r="300" spans="1:14">
      <c r="A300" s="151"/>
      <c r="B300" s="152"/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</row>
    <row r="301" spans="1:14">
      <c r="A301" s="151"/>
      <c r="B301" s="152"/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</row>
    <row r="302" spans="1:14">
      <c r="A302" s="151"/>
      <c r="B302" s="152"/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</row>
    <row r="303" spans="1:14">
      <c r="A303" s="151"/>
      <c r="B303" s="152"/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</row>
    <row r="304" spans="1:14">
      <c r="A304" s="151"/>
      <c r="B304" s="152"/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</row>
    <row r="305" spans="1:14">
      <c r="A305" s="151"/>
      <c r="B305" s="152"/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</row>
    <row r="306" spans="1:14">
      <c r="A306" s="151"/>
      <c r="B306" s="152"/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</row>
    <row r="307" spans="1:14">
      <c r="A307" s="151"/>
      <c r="B307" s="152"/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</row>
    <row r="308" spans="1:14">
      <c r="A308" s="151"/>
      <c r="B308" s="152"/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</row>
    <row r="309" spans="1:14">
      <c r="A309" s="151"/>
      <c r="B309" s="152"/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</row>
    <row r="310" spans="1:14">
      <c r="A310" s="151"/>
      <c r="B310" s="152"/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</row>
    <row r="311" spans="1:14">
      <c r="A311" s="151"/>
      <c r="B311" s="152"/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</row>
    <row r="312" spans="1:14">
      <c r="A312" s="151"/>
      <c r="B312" s="152"/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</row>
    <row r="313" spans="1:14">
      <c r="A313" s="151"/>
      <c r="B313" s="152"/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</row>
    <row r="314" spans="1:14">
      <c r="A314" s="151"/>
      <c r="B314" s="152"/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</row>
    <row r="315" spans="1:14">
      <c r="A315" s="151"/>
      <c r="B315" s="152"/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</row>
    <row r="316" spans="1:14">
      <c r="A316" s="151"/>
      <c r="B316" s="152"/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</row>
    <row r="317" spans="1:14">
      <c r="A317" s="151"/>
      <c r="B317" s="152"/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</row>
    <row r="318" spans="1:14">
      <c r="A318" s="151"/>
      <c r="B318" s="152"/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</row>
    <row r="319" spans="1:14">
      <c r="A319" s="151"/>
      <c r="B319" s="152"/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</row>
    <row r="320" spans="1:14">
      <c r="A320" s="151"/>
      <c r="B320" s="152"/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</row>
    <row r="321" spans="1:14">
      <c r="A321" s="151"/>
      <c r="B321" s="152"/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</row>
    <row r="322" spans="1:14">
      <c r="A322" s="151"/>
      <c r="B322" s="152"/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</row>
    <row r="323" spans="1:14">
      <c r="A323" s="151"/>
      <c r="B323" s="152"/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</row>
    <row r="324" spans="1:14">
      <c r="A324" s="151"/>
      <c r="B324" s="152"/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</row>
    <row r="325" spans="1:14">
      <c r="A325" s="151"/>
      <c r="B325" s="152"/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</row>
    <row r="326" spans="1:14">
      <c r="A326" s="151"/>
      <c r="B326" s="152"/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</row>
    <row r="327" spans="1:14">
      <c r="A327" s="151"/>
      <c r="B327" s="152"/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</row>
    <row r="328" spans="1:14">
      <c r="A328" s="151"/>
      <c r="B328" s="152"/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</row>
    <row r="329" spans="1:14">
      <c r="A329" s="151"/>
      <c r="B329" s="152"/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</row>
    <row r="330" spans="1:14">
      <c r="A330" s="151"/>
      <c r="B330" s="152"/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</row>
    <row r="331" spans="1:14">
      <c r="A331" s="151"/>
      <c r="B331" s="152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</row>
    <row r="332" spans="1:14">
      <c r="A332" s="151"/>
      <c r="B332" s="152"/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</row>
  </sheetData>
  <mergeCells count="2">
    <mergeCell ref="A1:N1"/>
    <mergeCell ref="D2:E2"/>
  </mergeCells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Footer>Stranica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O332"/>
  <sheetViews>
    <sheetView topLeftCell="A118" workbookViewId="0">
      <selection activeCell="E153" sqref="E153"/>
    </sheetView>
  </sheetViews>
  <sheetFormatPr defaultColWidth="11.42578125" defaultRowHeight="12.75"/>
  <cols>
    <col min="1" max="1" width="8.85546875" style="173" bestFit="1" customWidth="1"/>
    <col min="2" max="2" width="40.85546875" style="174" customWidth="1"/>
    <col min="3" max="3" width="15.42578125" style="175" bestFit="1" customWidth="1"/>
    <col min="4" max="4" width="11.7109375" style="175" bestFit="1" customWidth="1"/>
    <col min="5" max="5" width="12.28515625" style="175" bestFit="1" customWidth="1"/>
    <col min="6" max="6" width="12.7109375" style="175" bestFit="1" customWidth="1"/>
    <col min="7" max="7" width="15.42578125" style="175" bestFit="1" customWidth="1"/>
    <col min="8" max="9" width="10.7109375" style="175" bestFit="1" customWidth="1"/>
    <col min="10" max="10" width="15.7109375" style="175" bestFit="1" customWidth="1"/>
    <col min="11" max="11" width="15.28515625" style="175" bestFit="1" customWidth="1"/>
    <col min="12" max="12" width="13.85546875" style="175" bestFit="1" customWidth="1"/>
    <col min="13" max="13" width="15.42578125" style="175" bestFit="1" customWidth="1"/>
    <col min="14" max="14" width="14.5703125" style="175" bestFit="1" customWidth="1"/>
    <col min="15" max="15" width="11.7109375" style="100" bestFit="1" customWidth="1"/>
    <col min="16" max="16384" width="11.42578125" style="100"/>
  </cols>
  <sheetData>
    <row r="1" spans="1:14" ht="16.5" thickBot="1">
      <c r="A1" s="382" t="s">
        <v>252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1:14" s="106" customFormat="1" ht="57" thickBot="1">
      <c r="A2" s="101" t="s">
        <v>15</v>
      </c>
      <c r="B2" s="102" t="s">
        <v>16</v>
      </c>
      <c r="C2" s="193" t="s">
        <v>253</v>
      </c>
      <c r="D2" s="385" t="s">
        <v>9</v>
      </c>
      <c r="E2" s="386"/>
      <c r="F2" s="194" t="s">
        <v>10</v>
      </c>
      <c r="G2" s="194" t="s">
        <v>11</v>
      </c>
      <c r="H2" s="194" t="s">
        <v>12</v>
      </c>
      <c r="I2" s="195" t="s">
        <v>17</v>
      </c>
      <c r="J2" s="194" t="s">
        <v>165</v>
      </c>
      <c r="K2" s="195" t="s">
        <v>13</v>
      </c>
      <c r="L2" s="194" t="s">
        <v>166</v>
      </c>
      <c r="M2" s="195" t="s">
        <v>167</v>
      </c>
      <c r="N2" s="194" t="s">
        <v>168</v>
      </c>
    </row>
    <row r="3" spans="1:14" ht="13.5" thickBot="1">
      <c r="A3" s="107"/>
      <c r="B3" s="108"/>
      <c r="C3" s="109"/>
      <c r="D3" s="110">
        <v>90</v>
      </c>
      <c r="E3" s="111">
        <v>30</v>
      </c>
      <c r="F3" s="112">
        <v>20</v>
      </c>
      <c r="G3" s="112">
        <v>10</v>
      </c>
      <c r="H3" s="112">
        <v>40</v>
      </c>
      <c r="I3" s="113">
        <v>50</v>
      </c>
      <c r="J3" s="112">
        <v>60</v>
      </c>
      <c r="K3" s="113">
        <v>70</v>
      </c>
      <c r="L3" s="112">
        <v>80</v>
      </c>
      <c r="M3" s="113">
        <v>81</v>
      </c>
      <c r="N3" s="112">
        <v>82</v>
      </c>
    </row>
    <row r="4" spans="1:14" ht="13.5" thickBot="1">
      <c r="A4" s="107"/>
      <c r="B4" s="108"/>
      <c r="C4" s="109"/>
      <c r="D4" s="110" t="s">
        <v>169</v>
      </c>
      <c r="E4" s="111" t="s">
        <v>170</v>
      </c>
      <c r="F4" s="112">
        <v>3211</v>
      </c>
      <c r="G4" s="112" t="s">
        <v>171</v>
      </c>
      <c r="H4" s="112">
        <v>5211</v>
      </c>
      <c r="I4" s="113">
        <v>6211</v>
      </c>
      <c r="J4" s="112">
        <v>7311</v>
      </c>
      <c r="K4" s="113">
        <v>8311</v>
      </c>
      <c r="L4" s="112">
        <v>383</v>
      </c>
      <c r="M4" s="113">
        <v>483</v>
      </c>
      <c r="N4" s="112">
        <v>582</v>
      </c>
    </row>
    <row r="5" spans="1:14" s="106" customFormat="1" ht="15">
      <c r="A5" s="114"/>
      <c r="B5" s="115" t="s">
        <v>172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ht="26.25" customHeight="1">
      <c r="A6" s="117"/>
      <c r="B6" s="118" t="s">
        <v>173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s="106" customFormat="1" ht="25.5">
      <c r="A7" s="200" t="s">
        <v>255</v>
      </c>
      <c r="B7" s="120" t="s">
        <v>174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4" s="125" customFormat="1" ht="25.5">
      <c r="A8" s="122">
        <v>420602</v>
      </c>
      <c r="B8" s="123" t="s">
        <v>175</v>
      </c>
      <c r="C8" s="124">
        <f>SUM(C9:C44)</f>
        <v>51528000</v>
      </c>
      <c r="D8" s="124">
        <f>SUM(D9:D44)</f>
        <v>0</v>
      </c>
      <c r="E8" s="124">
        <f t="shared" ref="E8:N8" si="0">SUM(E9:E44)</f>
        <v>0</v>
      </c>
      <c r="F8" s="124">
        <f t="shared" si="0"/>
        <v>0</v>
      </c>
      <c r="G8" s="124">
        <f t="shared" si="0"/>
        <v>50728000</v>
      </c>
      <c r="H8" s="124">
        <f t="shared" si="0"/>
        <v>100000</v>
      </c>
      <c r="I8" s="124">
        <f t="shared" si="0"/>
        <v>300000</v>
      </c>
      <c r="J8" s="124">
        <f t="shared" si="0"/>
        <v>400000</v>
      </c>
      <c r="K8" s="124">
        <f t="shared" si="0"/>
        <v>0</v>
      </c>
      <c r="L8" s="124">
        <f t="shared" si="0"/>
        <v>0</v>
      </c>
      <c r="M8" s="124">
        <f t="shared" si="0"/>
        <v>0</v>
      </c>
      <c r="N8" s="124">
        <f t="shared" si="0"/>
        <v>0</v>
      </c>
    </row>
    <row r="9" spans="1:14">
      <c r="A9" s="126">
        <v>3111</v>
      </c>
      <c r="B9" s="127" t="s">
        <v>176</v>
      </c>
      <c r="C9" s="119">
        <f>SUM(D9:N9)</f>
        <v>22725000</v>
      </c>
      <c r="D9" s="119"/>
      <c r="E9" s="119"/>
      <c r="F9" s="119"/>
      <c r="G9" s="128">
        <f>24125000-100000-1400000</f>
        <v>22625000</v>
      </c>
      <c r="H9" s="129">
        <v>100000</v>
      </c>
      <c r="I9" s="119"/>
      <c r="J9" s="119"/>
      <c r="K9" s="119"/>
      <c r="L9" s="130"/>
      <c r="M9" s="130"/>
      <c r="N9" s="130"/>
    </row>
    <row r="10" spans="1:14">
      <c r="A10" s="126">
        <v>3112</v>
      </c>
      <c r="B10" s="127" t="s">
        <v>177</v>
      </c>
      <c r="C10" s="119">
        <f t="shared" ref="C10:C44" si="1">SUM(D10:N10)</f>
        <v>0</v>
      </c>
      <c r="D10" s="119"/>
      <c r="E10" s="119"/>
      <c r="F10" s="119"/>
      <c r="G10" s="128">
        <v>0</v>
      </c>
      <c r="H10" s="119"/>
      <c r="I10" s="119"/>
      <c r="J10" s="119"/>
      <c r="K10" s="119"/>
      <c r="L10" s="130"/>
      <c r="M10" s="130"/>
      <c r="N10" s="130"/>
    </row>
    <row r="11" spans="1:14">
      <c r="A11" s="126">
        <v>3113</v>
      </c>
      <c r="B11" s="127" t="s">
        <v>178</v>
      </c>
      <c r="C11" s="119">
        <f t="shared" si="1"/>
        <v>835000</v>
      </c>
      <c r="D11" s="119"/>
      <c r="E11" s="119"/>
      <c r="F11" s="119"/>
      <c r="G11" s="128">
        <v>835000</v>
      </c>
      <c r="H11" s="119"/>
      <c r="I11" s="119"/>
      <c r="J11" s="119"/>
      <c r="K11" s="119"/>
      <c r="L11" s="130"/>
      <c r="M11" s="130"/>
      <c r="N11" s="130"/>
    </row>
    <row r="12" spans="1:14">
      <c r="A12" s="126">
        <v>3114</v>
      </c>
      <c r="B12" s="127" t="s">
        <v>179</v>
      </c>
      <c r="C12" s="119">
        <f t="shared" si="1"/>
        <v>3035000</v>
      </c>
      <c r="D12" s="119"/>
      <c r="E12" s="119"/>
      <c r="F12" s="119"/>
      <c r="G12" s="128">
        <f>3170000-G47</f>
        <v>3035000</v>
      </c>
      <c r="H12" s="119"/>
      <c r="I12" s="119"/>
      <c r="J12" s="119"/>
      <c r="K12" s="119"/>
      <c r="L12" s="131"/>
      <c r="M12" s="131"/>
      <c r="N12" s="131"/>
    </row>
    <row r="13" spans="1:14">
      <c r="A13" s="126">
        <v>3121</v>
      </c>
      <c r="B13" s="127" t="s">
        <v>20</v>
      </c>
      <c r="C13" s="119">
        <f t="shared" si="1"/>
        <v>1260000</v>
      </c>
      <c r="D13" s="119"/>
      <c r="E13" s="119"/>
      <c r="F13" s="119"/>
      <c r="G13" s="128">
        <f>1300000-G48</f>
        <v>1260000</v>
      </c>
      <c r="H13" s="119"/>
      <c r="I13" s="119"/>
      <c r="J13" s="119"/>
      <c r="K13" s="119"/>
      <c r="L13" s="130"/>
      <c r="M13" s="130"/>
      <c r="N13" s="130"/>
    </row>
    <row r="14" spans="1:14">
      <c r="A14" s="126">
        <v>3131</v>
      </c>
      <c r="B14" s="127" t="s">
        <v>180</v>
      </c>
      <c r="C14" s="119">
        <f t="shared" si="1"/>
        <v>0</v>
      </c>
      <c r="D14" s="119"/>
      <c r="E14" s="119"/>
      <c r="F14" s="119"/>
      <c r="G14" s="128">
        <v>0</v>
      </c>
      <c r="H14" s="119"/>
      <c r="I14" s="119"/>
      <c r="J14" s="119"/>
      <c r="K14" s="119"/>
      <c r="L14" s="130"/>
      <c r="M14" s="130"/>
      <c r="N14" s="130"/>
    </row>
    <row r="15" spans="1:14">
      <c r="A15" s="126">
        <v>3132</v>
      </c>
      <c r="B15" s="127" t="s">
        <v>181</v>
      </c>
      <c r="C15" s="119">
        <f t="shared" si="1"/>
        <v>4396000</v>
      </c>
      <c r="D15" s="119"/>
      <c r="E15" s="119"/>
      <c r="F15" s="119"/>
      <c r="G15" s="128">
        <f>4650000-254000</f>
        <v>4396000</v>
      </c>
      <c r="H15" s="119"/>
      <c r="I15" s="119"/>
      <c r="J15" s="119"/>
      <c r="K15" s="119"/>
      <c r="L15" s="130"/>
      <c r="M15" s="130"/>
      <c r="N15" s="130"/>
    </row>
    <row r="16" spans="1:14" ht="25.5">
      <c r="A16" s="126">
        <v>3133</v>
      </c>
      <c r="B16" s="127" t="s">
        <v>182</v>
      </c>
      <c r="C16" s="119">
        <f t="shared" si="1"/>
        <v>0</v>
      </c>
      <c r="D16" s="119"/>
      <c r="E16" s="119"/>
      <c r="F16" s="119"/>
      <c r="G16" s="128"/>
      <c r="H16" s="119"/>
      <c r="I16" s="128"/>
      <c r="J16" s="119"/>
      <c r="K16" s="119"/>
      <c r="L16" s="130"/>
      <c r="M16" s="130"/>
      <c r="N16" s="130"/>
    </row>
    <row r="17" spans="1:14">
      <c r="A17" s="126">
        <v>3211</v>
      </c>
      <c r="B17" s="127" t="s">
        <v>183</v>
      </c>
      <c r="C17" s="119">
        <f t="shared" si="1"/>
        <v>58000</v>
      </c>
      <c r="D17" s="119"/>
      <c r="E17" s="119"/>
      <c r="F17" s="119"/>
      <c r="G17" s="132">
        <f>58000-10000</f>
        <v>48000</v>
      </c>
      <c r="H17" s="119"/>
      <c r="I17" s="128">
        <v>10000</v>
      </c>
      <c r="J17" s="119"/>
      <c r="K17" s="119"/>
      <c r="L17" s="130"/>
      <c r="M17" s="130"/>
      <c r="N17" s="130"/>
    </row>
    <row r="18" spans="1:14" ht="25.5">
      <c r="A18" s="126">
        <v>3212</v>
      </c>
      <c r="B18" s="127" t="s">
        <v>184</v>
      </c>
      <c r="C18" s="119">
        <f t="shared" si="1"/>
        <v>698000</v>
      </c>
      <c r="D18" s="119"/>
      <c r="E18" s="119"/>
      <c r="F18" s="119"/>
      <c r="G18" s="128">
        <f>776000-78000</f>
        <v>698000</v>
      </c>
      <c r="H18" s="119"/>
      <c r="I18" s="128"/>
      <c r="J18" s="119"/>
      <c r="K18" s="119"/>
      <c r="L18" s="130"/>
      <c r="M18" s="130"/>
      <c r="N18" s="130"/>
    </row>
    <row r="19" spans="1:14">
      <c r="A19" s="126">
        <v>3213</v>
      </c>
      <c r="B19" s="127" t="s">
        <v>185</v>
      </c>
      <c r="C19" s="119">
        <f t="shared" si="1"/>
        <v>114000</v>
      </c>
      <c r="D19" s="119"/>
      <c r="E19" s="119"/>
      <c r="F19" s="119"/>
      <c r="G19" s="132">
        <f>114000-10000</f>
        <v>104000</v>
      </c>
      <c r="H19" s="119"/>
      <c r="I19" s="128">
        <v>10000</v>
      </c>
      <c r="J19" s="119"/>
      <c r="K19" s="119"/>
      <c r="L19" s="130"/>
      <c r="M19" s="130"/>
      <c r="N19" s="130"/>
    </row>
    <row r="20" spans="1:14">
      <c r="A20" s="126">
        <v>3214</v>
      </c>
      <c r="B20" s="127" t="s">
        <v>186</v>
      </c>
      <c r="C20" s="119">
        <f t="shared" si="1"/>
        <v>5000</v>
      </c>
      <c r="D20" s="119"/>
      <c r="E20" s="119"/>
      <c r="F20" s="119"/>
      <c r="G20" s="128">
        <f>5000</f>
        <v>5000</v>
      </c>
      <c r="H20" s="119"/>
      <c r="I20" s="128"/>
      <c r="J20" s="119"/>
      <c r="K20" s="119"/>
      <c r="L20" s="130"/>
      <c r="M20" s="130"/>
      <c r="N20" s="130"/>
    </row>
    <row r="21" spans="1:14">
      <c r="A21" s="126">
        <v>3221</v>
      </c>
      <c r="B21" s="127" t="s">
        <v>187</v>
      </c>
      <c r="C21" s="119">
        <f t="shared" si="1"/>
        <v>560000</v>
      </c>
      <c r="D21" s="119"/>
      <c r="E21" s="119"/>
      <c r="F21" s="119"/>
      <c r="G21" s="128">
        <v>560000</v>
      </c>
      <c r="H21" s="119"/>
      <c r="I21" s="128"/>
      <c r="J21" s="119"/>
      <c r="K21" s="119"/>
      <c r="L21" s="130"/>
      <c r="M21" s="130"/>
      <c r="N21" s="130"/>
    </row>
    <row r="22" spans="1:14">
      <c r="A22" s="126">
        <v>3222</v>
      </c>
      <c r="B22" s="127" t="s">
        <v>188</v>
      </c>
      <c r="C22" s="119">
        <f t="shared" si="1"/>
        <v>11520000</v>
      </c>
      <c r="D22" s="119"/>
      <c r="E22" s="119"/>
      <c r="F22" s="119"/>
      <c r="G22" s="132">
        <f>12520000-300000-130000-150000-1000000</f>
        <v>10940000</v>
      </c>
      <c r="H22" s="119"/>
      <c r="I22" s="128">
        <f>130000+150000</f>
        <v>280000</v>
      </c>
      <c r="J22" s="119">
        <v>300000</v>
      </c>
      <c r="K22" s="119"/>
      <c r="L22" s="130"/>
      <c r="M22" s="130"/>
      <c r="N22" s="130"/>
    </row>
    <row r="23" spans="1:14">
      <c r="A23" s="126">
        <v>3223</v>
      </c>
      <c r="B23" s="127" t="s">
        <v>189</v>
      </c>
      <c r="C23" s="119">
        <f t="shared" si="1"/>
        <v>1560000</v>
      </c>
      <c r="D23" s="119"/>
      <c r="E23" s="119"/>
      <c r="F23" s="119"/>
      <c r="G23" s="128">
        <f>1560000</f>
        <v>1560000</v>
      </c>
      <c r="H23" s="119"/>
      <c r="I23" s="128"/>
      <c r="J23" s="119"/>
      <c r="K23" s="119"/>
      <c r="L23" s="130"/>
      <c r="M23" s="130"/>
      <c r="N23" s="130"/>
    </row>
    <row r="24" spans="1:14" ht="25.5">
      <c r="A24" s="126">
        <v>3224</v>
      </c>
      <c r="B24" s="127" t="s">
        <v>190</v>
      </c>
      <c r="C24" s="119">
        <f t="shared" si="1"/>
        <v>240000</v>
      </c>
      <c r="D24" s="119"/>
      <c r="E24" s="119"/>
      <c r="F24" s="119"/>
      <c r="G24" s="128">
        <v>240000</v>
      </c>
      <c r="H24" s="119"/>
      <c r="I24" s="119"/>
      <c r="J24" s="119"/>
      <c r="K24" s="119"/>
      <c r="L24" s="130"/>
      <c r="M24" s="130"/>
      <c r="N24" s="130"/>
    </row>
    <row r="25" spans="1:14">
      <c r="A25" s="126">
        <v>3225</v>
      </c>
      <c r="B25" s="127" t="s">
        <v>191</v>
      </c>
      <c r="C25" s="119">
        <f t="shared" si="1"/>
        <v>148000</v>
      </c>
      <c r="D25" s="119"/>
      <c r="E25" s="119"/>
      <c r="F25" s="119"/>
      <c r="G25" s="128">
        <f>148000</f>
        <v>148000</v>
      </c>
      <c r="H25" s="119"/>
      <c r="I25" s="119"/>
      <c r="J25" s="119"/>
      <c r="K25" s="119"/>
      <c r="L25" s="130"/>
      <c r="M25" s="130"/>
      <c r="N25" s="130"/>
    </row>
    <row r="26" spans="1:14">
      <c r="A26" s="126">
        <v>3227</v>
      </c>
      <c r="B26" s="127" t="s">
        <v>192</v>
      </c>
      <c r="C26" s="119">
        <f t="shared" si="1"/>
        <v>130000</v>
      </c>
      <c r="D26" s="119"/>
      <c r="E26" s="119"/>
      <c r="F26" s="119"/>
      <c r="G26" s="128">
        <v>130000</v>
      </c>
      <c r="H26" s="119"/>
      <c r="I26" s="119"/>
      <c r="J26" s="119"/>
      <c r="K26" s="119"/>
      <c r="L26" s="130"/>
      <c r="M26" s="130"/>
      <c r="N26" s="130"/>
    </row>
    <row r="27" spans="1:14">
      <c r="A27" s="126">
        <v>3231</v>
      </c>
      <c r="B27" s="127" t="s">
        <v>193</v>
      </c>
      <c r="C27" s="119">
        <f t="shared" si="1"/>
        <v>178000</v>
      </c>
      <c r="D27" s="119"/>
      <c r="E27" s="119"/>
      <c r="F27" s="119"/>
      <c r="G27" s="128">
        <v>178000</v>
      </c>
      <c r="H27" s="119"/>
      <c r="I27" s="119"/>
      <c r="J27" s="128"/>
      <c r="K27" s="119"/>
      <c r="L27" s="130"/>
      <c r="M27" s="130"/>
      <c r="N27" s="130"/>
    </row>
    <row r="28" spans="1:14">
      <c r="A28" s="126">
        <v>3232</v>
      </c>
      <c r="B28" s="127" t="s">
        <v>194</v>
      </c>
      <c r="C28" s="119">
        <f t="shared" si="1"/>
        <v>1248000</v>
      </c>
      <c r="D28" s="119"/>
      <c r="F28" s="119"/>
      <c r="G28" s="132">
        <f>1382070-100000-134070</f>
        <v>1148000</v>
      </c>
      <c r="H28" s="119"/>
      <c r="I28" s="119"/>
      <c r="J28" s="128">
        <v>100000</v>
      </c>
      <c r="K28" s="119"/>
      <c r="L28" s="130"/>
      <c r="M28" s="130"/>
      <c r="N28" s="130"/>
    </row>
    <row r="29" spans="1:14">
      <c r="A29" s="126">
        <v>3233</v>
      </c>
      <c r="B29" s="127" t="s">
        <v>195</v>
      </c>
      <c r="C29" s="119">
        <f t="shared" si="1"/>
        <v>120000</v>
      </c>
      <c r="D29" s="119"/>
      <c r="E29" s="119"/>
      <c r="F29" s="119"/>
      <c r="G29" s="128">
        <v>120000</v>
      </c>
      <c r="H29" s="119"/>
      <c r="I29" s="119"/>
      <c r="J29" s="128"/>
      <c r="K29" s="119"/>
      <c r="L29" s="133"/>
      <c r="M29" s="133"/>
      <c r="N29" s="133"/>
    </row>
    <row r="30" spans="1:14">
      <c r="A30" s="126">
        <v>3234</v>
      </c>
      <c r="B30" s="127" t="s">
        <v>196</v>
      </c>
      <c r="C30" s="119">
        <f t="shared" si="1"/>
        <v>655000</v>
      </c>
      <c r="D30" s="119"/>
      <c r="E30" s="119"/>
      <c r="F30" s="119"/>
      <c r="G30" s="128">
        <v>655000</v>
      </c>
      <c r="H30" s="119"/>
      <c r="I30" s="119"/>
      <c r="J30" s="128"/>
      <c r="K30" s="119"/>
      <c r="L30" s="119"/>
      <c r="M30" s="119"/>
      <c r="N30" s="119"/>
    </row>
    <row r="31" spans="1:14">
      <c r="A31" s="126">
        <v>3235</v>
      </c>
      <c r="B31" s="127" t="s">
        <v>197</v>
      </c>
      <c r="C31" s="119">
        <f t="shared" si="1"/>
        <v>475000</v>
      </c>
      <c r="D31" s="119"/>
      <c r="E31" s="119"/>
      <c r="F31" s="119"/>
      <c r="G31" s="128">
        <f>475000-M31</f>
        <v>475000</v>
      </c>
      <c r="H31" s="119"/>
      <c r="I31" s="119"/>
      <c r="J31" s="128"/>
      <c r="K31" s="119"/>
      <c r="L31" s="129"/>
      <c r="M31" s="129"/>
      <c r="N31" s="129"/>
    </row>
    <row r="32" spans="1:14">
      <c r="A32" s="126">
        <v>3236</v>
      </c>
      <c r="B32" s="127" t="s">
        <v>198</v>
      </c>
      <c r="C32" s="119">
        <f t="shared" si="1"/>
        <v>262000</v>
      </c>
      <c r="D32" s="119"/>
      <c r="E32" s="119"/>
      <c r="F32" s="119"/>
      <c r="G32" s="128">
        <v>262000</v>
      </c>
      <c r="H32" s="119"/>
      <c r="I32" s="119"/>
      <c r="J32" s="128"/>
      <c r="K32" s="119"/>
      <c r="L32" s="129"/>
      <c r="M32" s="129"/>
      <c r="N32" s="129"/>
    </row>
    <row r="33" spans="1:14">
      <c r="A33" s="126">
        <v>3237</v>
      </c>
      <c r="B33" s="127" t="s">
        <v>199</v>
      </c>
      <c r="C33" s="119">
        <f t="shared" si="1"/>
        <v>405000</v>
      </c>
      <c r="D33" s="119"/>
      <c r="E33" s="119"/>
      <c r="F33" s="119"/>
      <c r="G33" s="128">
        <f>405000-M33</f>
        <v>405000</v>
      </c>
      <c r="H33" s="119"/>
      <c r="I33" s="119"/>
      <c r="J33" s="128"/>
      <c r="K33" s="119"/>
      <c r="L33" s="129"/>
      <c r="M33" s="129"/>
      <c r="N33" s="129"/>
    </row>
    <row r="34" spans="1:14">
      <c r="A34" s="126">
        <v>3238</v>
      </c>
      <c r="B34" s="127" t="s">
        <v>200</v>
      </c>
      <c r="C34" s="119">
        <f t="shared" si="1"/>
        <v>376000</v>
      </c>
      <c r="D34" s="119"/>
      <c r="E34" s="119"/>
      <c r="F34" s="119"/>
      <c r="G34" s="128">
        <f>376000-M34</f>
        <v>376000</v>
      </c>
      <c r="H34" s="119"/>
      <c r="I34" s="119"/>
      <c r="J34" s="128"/>
      <c r="K34" s="119"/>
      <c r="L34" s="134"/>
      <c r="M34" s="134"/>
      <c r="N34" s="134"/>
    </row>
    <row r="35" spans="1:14">
      <c r="A35" s="126">
        <v>3239</v>
      </c>
      <c r="B35" s="127" t="s">
        <v>201</v>
      </c>
      <c r="C35" s="119">
        <f t="shared" si="1"/>
        <v>110000</v>
      </c>
      <c r="D35" s="119"/>
      <c r="E35" s="119"/>
      <c r="F35" s="119"/>
      <c r="G35" s="128">
        <f>110000</f>
        <v>110000</v>
      </c>
      <c r="H35" s="119"/>
      <c r="I35" s="119"/>
      <c r="J35" s="128"/>
      <c r="K35" s="119"/>
      <c r="L35" s="129"/>
      <c r="M35" s="129"/>
      <c r="N35" s="129"/>
    </row>
    <row r="36" spans="1:14">
      <c r="A36" s="126">
        <v>3241</v>
      </c>
      <c r="B36" s="127" t="s">
        <v>202</v>
      </c>
      <c r="C36" s="119">
        <f t="shared" si="1"/>
        <v>30000</v>
      </c>
      <c r="D36" s="119"/>
      <c r="E36" s="119"/>
      <c r="F36" s="119"/>
      <c r="G36" s="128">
        <v>30000</v>
      </c>
      <c r="H36" s="135"/>
      <c r="I36" s="119"/>
      <c r="J36" s="128"/>
      <c r="K36" s="119"/>
      <c r="L36" s="119"/>
      <c r="M36" s="119"/>
      <c r="N36" s="119"/>
    </row>
    <row r="37" spans="1:14">
      <c r="A37" s="126">
        <v>3291</v>
      </c>
      <c r="B37" s="127" t="s">
        <v>203</v>
      </c>
      <c r="C37" s="119">
        <f t="shared" si="1"/>
        <v>54000</v>
      </c>
      <c r="D37" s="119"/>
      <c r="E37" s="119"/>
      <c r="F37" s="119"/>
      <c r="G37" s="128">
        <v>54000</v>
      </c>
      <c r="H37" s="119"/>
      <c r="I37" s="119"/>
      <c r="J37" s="128"/>
      <c r="K37" s="119"/>
      <c r="L37" s="119"/>
      <c r="M37" s="119"/>
      <c r="N37" s="119"/>
    </row>
    <row r="38" spans="1:14">
      <c r="A38" s="126">
        <v>3292</v>
      </c>
      <c r="B38" s="127" t="s">
        <v>204</v>
      </c>
      <c r="C38" s="119">
        <f t="shared" si="1"/>
        <v>176000</v>
      </c>
      <c r="D38" s="119"/>
      <c r="E38" s="119"/>
      <c r="F38" s="119"/>
      <c r="G38" s="128">
        <v>176000</v>
      </c>
      <c r="H38" s="119"/>
      <c r="I38" s="119"/>
      <c r="J38" s="128"/>
      <c r="K38" s="119"/>
      <c r="L38" s="119"/>
      <c r="M38" s="119"/>
      <c r="N38" s="119"/>
    </row>
    <row r="39" spans="1:14">
      <c r="A39" s="126">
        <v>3293</v>
      </c>
      <c r="B39" s="127" t="s">
        <v>205</v>
      </c>
      <c r="C39" s="119">
        <f t="shared" si="1"/>
        <v>0</v>
      </c>
      <c r="D39" s="119"/>
      <c r="E39" s="119"/>
      <c r="F39" s="119"/>
      <c r="G39" s="128"/>
      <c r="H39" s="119"/>
      <c r="I39" s="119"/>
      <c r="J39" s="128"/>
      <c r="K39" s="119"/>
      <c r="L39" s="119"/>
      <c r="M39" s="119"/>
      <c r="N39" s="119"/>
    </row>
    <row r="40" spans="1:14">
      <c r="A40" s="126">
        <v>3294</v>
      </c>
      <c r="B40" s="127" t="s">
        <v>206</v>
      </c>
      <c r="C40" s="119">
        <f t="shared" si="1"/>
        <v>19000</v>
      </c>
      <c r="D40" s="119"/>
      <c r="E40" s="119"/>
      <c r="F40" s="119"/>
      <c r="G40" s="128">
        <v>19000</v>
      </c>
      <c r="H40" s="119"/>
      <c r="I40" s="119"/>
      <c r="J40" s="119"/>
      <c r="K40" s="119"/>
      <c r="L40" s="119"/>
      <c r="M40" s="119"/>
      <c r="N40" s="119"/>
    </row>
    <row r="41" spans="1:14">
      <c r="A41" s="126">
        <v>3295</v>
      </c>
      <c r="B41" s="127" t="s">
        <v>207</v>
      </c>
      <c r="C41" s="119">
        <f t="shared" si="1"/>
        <v>46000</v>
      </c>
      <c r="D41" s="119"/>
      <c r="E41" s="119"/>
      <c r="F41" s="119"/>
      <c r="G41" s="128">
        <v>46000</v>
      </c>
      <c r="H41" s="119"/>
      <c r="I41" s="119"/>
      <c r="J41" s="119"/>
      <c r="K41" s="119"/>
      <c r="L41" s="119"/>
      <c r="M41" s="119"/>
      <c r="N41" s="119"/>
    </row>
    <row r="42" spans="1:14">
      <c r="A42" s="126">
        <v>3299</v>
      </c>
      <c r="B42" s="127" t="s">
        <v>26</v>
      </c>
      <c r="C42" s="119">
        <f t="shared" si="1"/>
        <v>18000</v>
      </c>
      <c r="D42" s="119"/>
      <c r="E42" s="119"/>
      <c r="F42" s="119"/>
      <c r="G42" s="128">
        <v>18000</v>
      </c>
      <c r="H42" s="119"/>
      <c r="I42" s="128"/>
      <c r="J42" s="119"/>
      <c r="K42" s="119"/>
      <c r="L42" s="119"/>
      <c r="M42" s="119"/>
      <c r="N42" s="119"/>
    </row>
    <row r="43" spans="1:14">
      <c r="A43" s="126">
        <v>3431</v>
      </c>
      <c r="B43" s="127" t="s">
        <v>208</v>
      </c>
      <c r="C43" s="119">
        <f t="shared" si="1"/>
        <v>12000</v>
      </c>
      <c r="D43" s="119"/>
      <c r="E43" s="119"/>
      <c r="F43" s="119"/>
      <c r="G43" s="128">
        <v>12000</v>
      </c>
      <c r="H43" s="119"/>
      <c r="I43" s="119"/>
      <c r="J43" s="119"/>
      <c r="K43" s="119"/>
      <c r="L43" s="119"/>
      <c r="M43" s="119"/>
      <c r="N43" s="119"/>
    </row>
    <row r="44" spans="1:14">
      <c r="A44" s="126">
        <v>3434</v>
      </c>
      <c r="B44" s="127" t="s">
        <v>209</v>
      </c>
      <c r="C44" s="119">
        <f t="shared" si="1"/>
        <v>60000</v>
      </c>
      <c r="D44" s="119"/>
      <c r="E44" s="119"/>
      <c r="F44" s="119"/>
      <c r="G44" s="128">
        <v>60000</v>
      </c>
      <c r="H44" s="119"/>
      <c r="I44" s="119"/>
      <c r="J44" s="119"/>
      <c r="K44" s="119"/>
      <c r="L44" s="119"/>
      <c r="M44" s="119"/>
      <c r="N44" s="119"/>
    </row>
    <row r="45" spans="1:14" s="125" customFormat="1">
      <c r="A45" s="122">
        <v>420603</v>
      </c>
      <c r="B45" s="123" t="s">
        <v>210</v>
      </c>
      <c r="C45" s="138">
        <f>SUM(C46:C52)</f>
        <v>1907000</v>
      </c>
      <c r="D45" s="138">
        <f>SUM(D46:D52)</f>
        <v>0</v>
      </c>
      <c r="E45" s="138">
        <f t="shared" ref="E45:N45" si="2">SUM(E46:E52)</f>
        <v>0</v>
      </c>
      <c r="F45" s="138">
        <f t="shared" si="2"/>
        <v>0</v>
      </c>
      <c r="G45" s="138">
        <f t="shared" si="2"/>
        <v>1907000</v>
      </c>
      <c r="H45" s="138">
        <f t="shared" si="2"/>
        <v>0</v>
      </c>
      <c r="I45" s="138">
        <f t="shared" si="2"/>
        <v>0</v>
      </c>
      <c r="J45" s="138">
        <f t="shared" si="2"/>
        <v>0</v>
      </c>
      <c r="K45" s="138">
        <f t="shared" si="2"/>
        <v>0</v>
      </c>
      <c r="L45" s="138">
        <f t="shared" si="2"/>
        <v>0</v>
      </c>
      <c r="M45" s="138">
        <f t="shared" si="2"/>
        <v>0</v>
      </c>
      <c r="N45" s="138">
        <f t="shared" si="2"/>
        <v>0</v>
      </c>
    </row>
    <row r="46" spans="1:14">
      <c r="A46" s="126">
        <v>3111</v>
      </c>
      <c r="B46" s="127" t="s">
        <v>176</v>
      </c>
      <c r="C46" s="119">
        <f>SUM(D46:L46)</f>
        <v>1400000</v>
      </c>
      <c r="D46" s="119"/>
      <c r="E46" s="119"/>
      <c r="F46" s="119"/>
      <c r="G46" s="128">
        <v>1400000</v>
      </c>
      <c r="H46" s="119"/>
      <c r="I46" s="119"/>
      <c r="J46" s="119"/>
      <c r="K46" s="119"/>
      <c r="L46" s="119"/>
      <c r="M46" s="119"/>
      <c r="N46" s="119"/>
    </row>
    <row r="47" spans="1:14">
      <c r="A47" s="126">
        <v>3114</v>
      </c>
      <c r="B47" s="127" t="s">
        <v>211</v>
      </c>
      <c r="C47" s="119">
        <f t="shared" ref="C47:C52" si="3">SUM(D47:L47)</f>
        <v>135000</v>
      </c>
      <c r="D47" s="119"/>
      <c r="E47" s="119"/>
      <c r="F47" s="119"/>
      <c r="G47" s="128">
        <v>135000</v>
      </c>
      <c r="H47" s="119"/>
      <c r="I47" s="119"/>
      <c r="J47" s="119"/>
      <c r="K47" s="119"/>
      <c r="L47" s="119"/>
      <c r="M47" s="119"/>
      <c r="N47" s="119"/>
    </row>
    <row r="48" spans="1:14">
      <c r="A48" s="126">
        <v>3121</v>
      </c>
      <c r="B48" s="127" t="s">
        <v>20</v>
      </c>
      <c r="C48" s="119">
        <f t="shared" si="3"/>
        <v>40000</v>
      </c>
      <c r="D48" s="119"/>
      <c r="E48" s="119"/>
      <c r="F48" s="119"/>
      <c r="G48" s="128">
        <v>40000</v>
      </c>
      <c r="H48" s="119"/>
      <c r="I48" s="119"/>
      <c r="J48" s="119"/>
      <c r="K48" s="119"/>
      <c r="L48" s="119"/>
      <c r="M48" s="119"/>
      <c r="N48" s="119"/>
    </row>
    <row r="49" spans="1:14">
      <c r="A49" s="126">
        <v>3131</v>
      </c>
      <c r="B49" s="139" t="s">
        <v>180</v>
      </c>
      <c r="C49" s="119">
        <f t="shared" si="3"/>
        <v>0</v>
      </c>
      <c r="D49" s="119"/>
      <c r="E49" s="119"/>
      <c r="F49" s="119"/>
      <c r="G49" s="128"/>
      <c r="H49" s="119"/>
      <c r="I49" s="119"/>
      <c r="J49" s="119"/>
      <c r="K49" s="119"/>
      <c r="L49" s="119"/>
      <c r="M49" s="119"/>
      <c r="N49" s="119"/>
    </row>
    <row r="50" spans="1:14">
      <c r="A50" s="126">
        <v>3132</v>
      </c>
      <c r="B50" s="127" t="s">
        <v>181</v>
      </c>
      <c r="C50" s="119">
        <f t="shared" si="3"/>
        <v>254000</v>
      </c>
      <c r="D50" s="119"/>
      <c r="E50" s="119"/>
      <c r="F50" s="119"/>
      <c r="G50" s="128">
        <v>254000</v>
      </c>
      <c r="H50" s="119"/>
      <c r="I50" s="119"/>
      <c r="J50" s="119"/>
      <c r="K50" s="119"/>
      <c r="L50" s="119"/>
      <c r="M50" s="119"/>
      <c r="N50" s="119"/>
    </row>
    <row r="51" spans="1:14" ht="25.5">
      <c r="A51" s="126">
        <v>3133</v>
      </c>
      <c r="B51" s="139" t="s">
        <v>182</v>
      </c>
      <c r="C51" s="119">
        <f t="shared" si="3"/>
        <v>0</v>
      </c>
      <c r="D51" s="119"/>
      <c r="E51" s="119"/>
      <c r="F51" s="119"/>
      <c r="G51" s="128"/>
      <c r="H51" s="119"/>
      <c r="I51" s="119"/>
      <c r="J51" s="119"/>
      <c r="K51" s="119"/>
      <c r="L51" s="119"/>
      <c r="M51" s="119"/>
      <c r="N51" s="119"/>
    </row>
    <row r="52" spans="1:14" ht="25.5">
      <c r="A52" s="126">
        <v>3212</v>
      </c>
      <c r="B52" s="127" t="s">
        <v>184</v>
      </c>
      <c r="C52" s="119">
        <f t="shared" si="3"/>
        <v>78000</v>
      </c>
      <c r="D52" s="119"/>
      <c r="E52" s="119"/>
      <c r="F52" s="119"/>
      <c r="G52" s="128">
        <v>78000</v>
      </c>
      <c r="H52" s="119"/>
      <c r="I52" s="119"/>
      <c r="J52" s="119"/>
      <c r="K52" s="119"/>
      <c r="L52" s="119"/>
      <c r="M52" s="119"/>
      <c r="N52" s="119"/>
    </row>
    <row r="53" spans="1:14" ht="25.5">
      <c r="A53" s="200" t="s">
        <v>256</v>
      </c>
      <c r="B53" s="120" t="s">
        <v>257</v>
      </c>
      <c r="C53" s="142"/>
      <c r="D53" s="142"/>
      <c r="E53" s="142"/>
      <c r="F53" s="142"/>
      <c r="G53" s="201"/>
      <c r="H53" s="142"/>
      <c r="I53" s="142"/>
      <c r="J53" s="142"/>
      <c r="K53" s="142"/>
      <c r="L53" s="142"/>
      <c r="M53" s="142"/>
      <c r="N53" s="142"/>
    </row>
    <row r="54" spans="1:14" ht="25.5">
      <c r="A54" s="140">
        <v>420705</v>
      </c>
      <c r="B54" s="141" t="s">
        <v>212</v>
      </c>
      <c r="C54" s="138">
        <f t="shared" ref="C54:N54" si="4">SUM(C55:C95)</f>
        <v>10585250</v>
      </c>
      <c r="D54" s="138">
        <f t="shared" si="4"/>
        <v>0</v>
      </c>
      <c r="E54" s="138">
        <f t="shared" si="4"/>
        <v>0</v>
      </c>
      <c r="F54" s="138">
        <f t="shared" si="4"/>
        <v>10585250</v>
      </c>
      <c r="G54" s="138">
        <f t="shared" si="4"/>
        <v>0</v>
      </c>
      <c r="H54" s="138">
        <f t="shared" si="4"/>
        <v>0</v>
      </c>
      <c r="I54" s="138">
        <f t="shared" si="4"/>
        <v>0</v>
      </c>
      <c r="J54" s="138">
        <f t="shared" si="4"/>
        <v>0</v>
      </c>
      <c r="K54" s="138">
        <f t="shared" si="4"/>
        <v>0</v>
      </c>
      <c r="L54" s="138">
        <f t="shared" si="4"/>
        <v>0</v>
      </c>
      <c r="M54" s="138">
        <f t="shared" si="4"/>
        <v>0</v>
      </c>
      <c r="N54" s="138">
        <f t="shared" si="4"/>
        <v>0</v>
      </c>
    </row>
    <row r="55" spans="1:14">
      <c r="A55" s="126">
        <v>3111</v>
      </c>
      <c r="B55" s="127" t="s">
        <v>176</v>
      </c>
      <c r="C55" s="119">
        <f>SUM(D55:L55)</f>
        <v>4200000</v>
      </c>
      <c r="D55" s="119"/>
      <c r="E55" s="119"/>
      <c r="F55" s="128">
        <v>4200000</v>
      </c>
      <c r="G55" s="119"/>
      <c r="H55" s="119"/>
      <c r="I55" s="119"/>
      <c r="J55" s="119"/>
      <c r="K55" s="119"/>
      <c r="L55" s="128"/>
      <c r="M55" s="128"/>
      <c r="N55" s="128"/>
    </row>
    <row r="56" spans="1:14">
      <c r="A56" s="126">
        <v>3112</v>
      </c>
      <c r="B56" s="127" t="s">
        <v>177</v>
      </c>
      <c r="C56" s="119">
        <f t="shared" ref="C56:C95" si="5">SUM(D56:L56)</f>
        <v>0</v>
      </c>
      <c r="D56" s="119"/>
      <c r="E56" s="119"/>
      <c r="F56" s="128"/>
      <c r="G56" s="119"/>
      <c r="H56" s="119"/>
      <c r="I56" s="119"/>
      <c r="J56" s="119"/>
      <c r="K56" s="119"/>
      <c r="L56" s="128"/>
      <c r="M56" s="128"/>
      <c r="N56" s="128"/>
    </row>
    <row r="57" spans="1:14">
      <c r="A57" s="126">
        <v>3113</v>
      </c>
      <c r="B57" s="127" t="s">
        <v>178</v>
      </c>
      <c r="C57" s="119">
        <f t="shared" si="5"/>
        <v>0</v>
      </c>
      <c r="D57" s="119"/>
      <c r="E57" s="119"/>
      <c r="F57" s="128">
        <v>0</v>
      </c>
      <c r="G57" s="119"/>
      <c r="H57" s="119"/>
      <c r="I57" s="119"/>
      <c r="J57" s="119"/>
      <c r="K57" s="119"/>
      <c r="L57" s="128"/>
      <c r="M57" s="128"/>
      <c r="N57" s="128"/>
    </row>
    <row r="58" spans="1:14">
      <c r="A58" s="126">
        <v>3114</v>
      </c>
      <c r="B58" s="127" t="s">
        <v>179</v>
      </c>
      <c r="C58" s="119">
        <f t="shared" si="5"/>
        <v>140000</v>
      </c>
      <c r="D58" s="119"/>
      <c r="E58" s="119"/>
      <c r="F58" s="128">
        <v>140000</v>
      </c>
      <c r="G58" s="119"/>
      <c r="H58" s="119"/>
      <c r="I58" s="119"/>
      <c r="J58" s="119"/>
      <c r="K58" s="119"/>
      <c r="L58" s="128"/>
      <c r="M58" s="128"/>
      <c r="N58" s="128"/>
    </row>
    <row r="59" spans="1:14">
      <c r="A59" s="126">
        <v>3121</v>
      </c>
      <c r="B59" s="127" t="s">
        <v>20</v>
      </c>
      <c r="C59" s="119">
        <f t="shared" si="5"/>
        <v>100000</v>
      </c>
      <c r="D59" s="119"/>
      <c r="E59" s="119"/>
      <c r="F59" s="128">
        <v>100000</v>
      </c>
      <c r="G59" s="119"/>
      <c r="H59" s="119"/>
      <c r="I59" s="119"/>
      <c r="J59" s="119"/>
      <c r="K59" s="119"/>
      <c r="L59" s="128"/>
      <c r="M59" s="128"/>
      <c r="N59" s="128"/>
    </row>
    <row r="60" spans="1:14">
      <c r="A60" s="126">
        <v>3131</v>
      </c>
      <c r="B60" s="127" t="s">
        <v>180</v>
      </c>
      <c r="C60" s="119">
        <f t="shared" si="5"/>
        <v>0</v>
      </c>
      <c r="D60" s="119"/>
      <c r="E60" s="119"/>
      <c r="F60" s="128"/>
      <c r="G60" s="119"/>
      <c r="H60" s="119"/>
      <c r="I60" s="119"/>
      <c r="J60" s="119"/>
      <c r="K60" s="119"/>
      <c r="L60" s="119"/>
      <c r="M60" s="119"/>
      <c r="N60" s="119"/>
    </row>
    <row r="61" spans="1:14">
      <c r="A61" s="126">
        <v>3132</v>
      </c>
      <c r="B61" s="127" t="s">
        <v>181</v>
      </c>
      <c r="C61" s="119">
        <f t="shared" si="5"/>
        <v>710000</v>
      </c>
      <c r="D61" s="119"/>
      <c r="E61" s="119"/>
      <c r="F61" s="128">
        <v>710000</v>
      </c>
      <c r="G61" s="119"/>
      <c r="H61" s="119"/>
      <c r="I61" s="119"/>
      <c r="J61" s="119"/>
      <c r="K61" s="119"/>
      <c r="L61" s="119"/>
      <c r="M61" s="119"/>
      <c r="N61" s="119"/>
    </row>
    <row r="62" spans="1:14" ht="25.5">
      <c r="A62" s="126">
        <v>3133</v>
      </c>
      <c r="B62" s="127" t="s">
        <v>182</v>
      </c>
      <c r="C62" s="119">
        <f t="shared" si="5"/>
        <v>0</v>
      </c>
      <c r="D62" s="119"/>
      <c r="E62" s="119"/>
      <c r="F62" s="128">
        <v>0</v>
      </c>
      <c r="G62" s="119"/>
      <c r="H62" s="119"/>
      <c r="I62" s="119"/>
      <c r="J62" s="119"/>
      <c r="K62" s="119"/>
      <c r="L62" s="119"/>
      <c r="M62" s="119"/>
      <c r="N62" s="119"/>
    </row>
    <row r="63" spans="1:14">
      <c r="A63" s="126">
        <v>3211</v>
      </c>
      <c r="B63" s="127" t="s">
        <v>183</v>
      </c>
      <c r="C63" s="119">
        <f t="shared" si="5"/>
        <v>22000</v>
      </c>
      <c r="D63" s="119"/>
      <c r="E63" s="119"/>
      <c r="F63" s="128">
        <v>22000</v>
      </c>
      <c r="G63" s="119"/>
      <c r="H63" s="119"/>
      <c r="I63" s="119"/>
      <c r="J63" s="119"/>
      <c r="K63" s="119"/>
      <c r="L63" s="119"/>
      <c r="M63" s="119"/>
      <c r="N63" s="119"/>
    </row>
    <row r="64" spans="1:14" ht="25.5">
      <c r="A64" s="126">
        <v>3212</v>
      </c>
      <c r="B64" s="127" t="s">
        <v>184</v>
      </c>
      <c r="C64" s="119">
        <f t="shared" si="5"/>
        <v>204000</v>
      </c>
      <c r="D64" s="119"/>
      <c r="E64" s="119"/>
      <c r="F64" s="128">
        <v>204000</v>
      </c>
      <c r="G64" s="119"/>
      <c r="H64" s="119"/>
      <c r="I64" s="119"/>
      <c r="J64" s="119"/>
      <c r="K64" s="119"/>
      <c r="L64" s="119"/>
      <c r="M64" s="119"/>
      <c r="N64" s="119"/>
    </row>
    <row r="65" spans="1:14">
      <c r="A65" s="126">
        <v>3213</v>
      </c>
      <c r="B65" s="127" t="s">
        <v>185</v>
      </c>
      <c r="C65" s="119">
        <f t="shared" si="5"/>
        <v>26000</v>
      </c>
      <c r="D65" s="119"/>
      <c r="E65" s="119"/>
      <c r="F65" s="128">
        <v>26000</v>
      </c>
      <c r="G65" s="119"/>
      <c r="H65" s="119"/>
      <c r="I65" s="119"/>
      <c r="J65" s="119"/>
      <c r="K65" s="119"/>
      <c r="L65" s="119"/>
      <c r="M65" s="119"/>
      <c r="N65" s="119"/>
    </row>
    <row r="66" spans="1:14">
      <c r="A66" s="126">
        <v>3214</v>
      </c>
      <c r="B66" s="127" t="s">
        <v>186</v>
      </c>
      <c r="C66" s="119">
        <f t="shared" si="5"/>
        <v>0</v>
      </c>
      <c r="D66" s="119"/>
      <c r="E66" s="119"/>
      <c r="F66" s="128">
        <v>0</v>
      </c>
      <c r="G66" s="119"/>
      <c r="H66" s="119"/>
      <c r="I66" s="119"/>
      <c r="J66" s="119"/>
      <c r="K66" s="119"/>
      <c r="L66" s="119"/>
      <c r="M66" s="119"/>
      <c r="N66" s="119"/>
    </row>
    <row r="67" spans="1:14">
      <c r="A67" s="126">
        <v>3221</v>
      </c>
      <c r="B67" s="127" t="s">
        <v>187</v>
      </c>
      <c r="C67" s="119">
        <f t="shared" si="5"/>
        <v>140000</v>
      </c>
      <c r="D67" s="119"/>
      <c r="E67" s="119"/>
      <c r="F67" s="128">
        <v>140000</v>
      </c>
      <c r="G67" s="119"/>
      <c r="H67" s="119"/>
      <c r="I67" s="119"/>
      <c r="J67" s="119"/>
      <c r="K67" s="119"/>
      <c r="L67" s="119"/>
      <c r="M67" s="119"/>
      <c r="N67" s="119"/>
    </row>
    <row r="68" spans="1:14">
      <c r="A68" s="126">
        <v>3222</v>
      </c>
      <c r="B68" s="127" t="s">
        <v>213</v>
      </c>
      <c r="C68" s="119">
        <f t="shared" si="5"/>
        <v>1980000</v>
      </c>
      <c r="D68" s="119"/>
      <c r="E68" s="119"/>
      <c r="F68" s="128">
        <f>980000+1000000</f>
        <v>1980000</v>
      </c>
      <c r="G68" s="119"/>
      <c r="H68" s="119"/>
      <c r="I68" s="119"/>
      <c r="J68" s="119"/>
      <c r="K68" s="119"/>
      <c r="L68" s="119"/>
      <c r="M68" s="119"/>
      <c r="N68" s="119"/>
    </row>
    <row r="69" spans="1:14">
      <c r="A69" s="126">
        <v>3223</v>
      </c>
      <c r="B69" s="127" t="s">
        <v>189</v>
      </c>
      <c r="C69" s="119">
        <f t="shared" si="5"/>
        <v>540000</v>
      </c>
      <c r="D69" s="119"/>
      <c r="E69" s="119"/>
      <c r="F69" s="128">
        <v>540000</v>
      </c>
      <c r="G69" s="119"/>
      <c r="H69" s="119"/>
      <c r="I69" s="119"/>
      <c r="J69" s="119"/>
      <c r="K69" s="119"/>
      <c r="L69" s="119"/>
      <c r="M69" s="119"/>
      <c r="N69" s="119"/>
    </row>
    <row r="70" spans="1:14" ht="25.5">
      <c r="A70" s="126">
        <v>3224</v>
      </c>
      <c r="B70" s="127" t="s">
        <v>190</v>
      </c>
      <c r="C70" s="119">
        <f t="shared" si="5"/>
        <v>120000</v>
      </c>
      <c r="D70" s="119"/>
      <c r="E70" s="119"/>
      <c r="F70" s="128">
        <v>120000</v>
      </c>
      <c r="G70" s="119"/>
      <c r="H70" s="119"/>
      <c r="I70" s="119"/>
      <c r="J70" s="119"/>
      <c r="K70" s="119"/>
      <c r="L70" s="119"/>
      <c r="M70" s="119"/>
      <c r="N70" s="119"/>
    </row>
    <row r="71" spans="1:14">
      <c r="A71" s="126">
        <v>3225</v>
      </c>
      <c r="B71" s="127" t="s">
        <v>191</v>
      </c>
      <c r="C71" s="119">
        <f t="shared" si="5"/>
        <v>32000</v>
      </c>
      <c r="D71" s="119"/>
      <c r="E71" s="119"/>
      <c r="F71" s="128">
        <v>32000</v>
      </c>
      <c r="G71" s="119"/>
      <c r="H71" s="119"/>
      <c r="I71" s="119"/>
      <c r="J71" s="119"/>
      <c r="K71" s="119"/>
      <c r="L71" s="119"/>
      <c r="M71" s="119"/>
      <c r="N71" s="119"/>
    </row>
    <row r="72" spans="1:14">
      <c r="A72" s="126">
        <v>3227</v>
      </c>
      <c r="B72" s="127" t="s">
        <v>214</v>
      </c>
      <c r="C72" s="119">
        <f t="shared" si="5"/>
        <v>20000</v>
      </c>
      <c r="D72" s="119"/>
      <c r="E72" s="119"/>
      <c r="F72" s="128">
        <v>20000</v>
      </c>
      <c r="G72" s="119"/>
      <c r="H72" s="119"/>
      <c r="I72" s="119"/>
      <c r="J72" s="119"/>
      <c r="K72" s="119"/>
      <c r="L72" s="119"/>
      <c r="M72" s="119"/>
      <c r="N72" s="119"/>
    </row>
    <row r="73" spans="1:14">
      <c r="A73" s="126">
        <v>3231</v>
      </c>
      <c r="B73" s="127" t="s">
        <v>193</v>
      </c>
      <c r="C73" s="119">
        <f t="shared" si="5"/>
        <v>62000</v>
      </c>
      <c r="D73" s="119"/>
      <c r="E73" s="119"/>
      <c r="F73" s="128">
        <v>62000</v>
      </c>
      <c r="G73" s="119"/>
      <c r="H73" s="119"/>
      <c r="I73" s="119"/>
      <c r="J73" s="119"/>
      <c r="K73" s="119"/>
      <c r="L73" s="119"/>
      <c r="M73" s="119"/>
      <c r="N73" s="119"/>
    </row>
    <row r="74" spans="1:14">
      <c r="A74" s="126">
        <v>3232</v>
      </c>
      <c r="B74" s="127" t="s">
        <v>194</v>
      </c>
      <c r="C74" s="119">
        <f t="shared" si="5"/>
        <v>1130070</v>
      </c>
      <c r="D74" s="119"/>
      <c r="E74" s="119"/>
      <c r="F74" s="128">
        <f>996000+134070</f>
        <v>1130070</v>
      </c>
      <c r="G74" s="119"/>
      <c r="H74" s="119"/>
      <c r="I74" s="119"/>
      <c r="J74" s="119"/>
      <c r="K74" s="119"/>
      <c r="L74" s="119"/>
      <c r="M74" s="119"/>
      <c r="N74" s="119"/>
    </row>
    <row r="75" spans="1:14">
      <c r="A75" s="126">
        <v>3233</v>
      </c>
      <c r="B75" s="127" t="s">
        <v>215</v>
      </c>
      <c r="C75" s="119">
        <f t="shared" si="5"/>
        <v>160000</v>
      </c>
      <c r="D75" s="119"/>
      <c r="E75" s="119"/>
      <c r="F75" s="128">
        <v>160000</v>
      </c>
      <c r="G75" s="119"/>
      <c r="H75" s="119"/>
      <c r="I75" s="119"/>
      <c r="J75" s="119"/>
      <c r="K75" s="119"/>
      <c r="L75" s="119"/>
      <c r="M75" s="119"/>
      <c r="N75" s="119"/>
    </row>
    <row r="76" spans="1:14">
      <c r="A76" s="126">
        <v>3234</v>
      </c>
      <c r="B76" s="127" t="s">
        <v>196</v>
      </c>
      <c r="C76" s="119">
        <f t="shared" si="5"/>
        <v>245000</v>
      </c>
      <c r="D76" s="119"/>
      <c r="E76" s="119"/>
      <c r="F76" s="128">
        <v>245000</v>
      </c>
      <c r="G76" s="119"/>
      <c r="H76" s="119"/>
      <c r="I76" s="119"/>
      <c r="J76" s="119"/>
      <c r="K76" s="119"/>
      <c r="L76" s="119"/>
      <c r="M76" s="119"/>
      <c r="N76" s="119"/>
    </row>
    <row r="77" spans="1:14">
      <c r="A77" s="126">
        <v>3235</v>
      </c>
      <c r="B77" s="127" t="s">
        <v>197</v>
      </c>
      <c r="C77" s="119">
        <f t="shared" si="5"/>
        <v>90000</v>
      </c>
      <c r="D77" s="119"/>
      <c r="E77" s="119"/>
      <c r="F77" s="128">
        <v>90000</v>
      </c>
      <c r="G77" s="119"/>
      <c r="H77" s="119"/>
      <c r="I77" s="119"/>
      <c r="J77" s="119"/>
      <c r="K77" s="119"/>
      <c r="L77" s="119"/>
      <c r="M77" s="119"/>
      <c r="N77" s="119"/>
    </row>
    <row r="78" spans="1:14">
      <c r="A78" s="126">
        <v>3236</v>
      </c>
      <c r="B78" s="127" t="s">
        <v>198</v>
      </c>
      <c r="C78" s="119">
        <f t="shared" si="5"/>
        <v>88000</v>
      </c>
      <c r="D78" s="119"/>
      <c r="E78" s="119"/>
      <c r="F78" s="128">
        <v>88000</v>
      </c>
      <c r="G78" s="119"/>
      <c r="H78" s="119"/>
      <c r="I78" s="119"/>
      <c r="J78" s="119"/>
      <c r="K78" s="119"/>
      <c r="L78" s="119"/>
      <c r="M78" s="119"/>
      <c r="N78" s="119"/>
    </row>
    <row r="79" spans="1:14">
      <c r="A79" s="126">
        <v>3237</v>
      </c>
      <c r="B79" s="127" t="s">
        <v>199</v>
      </c>
      <c r="C79" s="119">
        <f t="shared" si="5"/>
        <v>75000</v>
      </c>
      <c r="D79" s="119"/>
      <c r="E79" s="119"/>
      <c r="F79" s="128">
        <v>75000</v>
      </c>
      <c r="G79" s="119"/>
      <c r="H79" s="119"/>
      <c r="I79" s="119"/>
      <c r="J79" s="119"/>
      <c r="K79" s="119"/>
      <c r="L79" s="119"/>
      <c r="M79" s="119"/>
      <c r="N79" s="119"/>
    </row>
    <row r="80" spans="1:14">
      <c r="A80" s="126">
        <v>3238</v>
      </c>
      <c r="B80" s="127" t="s">
        <v>200</v>
      </c>
      <c r="C80" s="119">
        <f t="shared" si="5"/>
        <v>94000</v>
      </c>
      <c r="D80" s="119"/>
      <c r="E80" s="119"/>
      <c r="F80" s="128">
        <v>94000</v>
      </c>
      <c r="G80" s="119"/>
      <c r="H80" s="119"/>
      <c r="I80" s="119"/>
      <c r="J80" s="119"/>
      <c r="K80" s="119"/>
      <c r="L80" s="119"/>
      <c r="M80" s="119"/>
      <c r="N80" s="119"/>
    </row>
    <row r="81" spans="1:14">
      <c r="A81" s="126">
        <v>3239</v>
      </c>
      <c r="B81" s="127" t="s">
        <v>201</v>
      </c>
      <c r="C81" s="119">
        <f t="shared" si="5"/>
        <v>190000</v>
      </c>
      <c r="D81" s="119"/>
      <c r="E81" s="119"/>
      <c r="F81" s="128">
        <v>190000</v>
      </c>
      <c r="G81" s="119"/>
      <c r="H81" s="119"/>
      <c r="I81" s="119"/>
      <c r="J81" s="119"/>
      <c r="K81" s="119"/>
      <c r="L81" s="119"/>
      <c r="M81" s="119"/>
      <c r="N81" s="119"/>
    </row>
    <row r="82" spans="1:14" ht="25.5">
      <c r="A82" s="126">
        <v>3241</v>
      </c>
      <c r="B82" s="127" t="s">
        <v>48</v>
      </c>
      <c r="C82" s="119">
        <f t="shared" si="5"/>
        <v>0</v>
      </c>
      <c r="D82" s="119"/>
      <c r="E82" s="119"/>
      <c r="F82" s="128">
        <v>0</v>
      </c>
      <c r="G82" s="119"/>
      <c r="H82" s="119"/>
      <c r="I82" s="119"/>
      <c r="J82" s="119"/>
      <c r="K82" s="119"/>
      <c r="L82" s="119"/>
      <c r="M82" s="119"/>
      <c r="N82" s="119"/>
    </row>
    <row r="83" spans="1:14" ht="25.5">
      <c r="A83" s="126">
        <v>3291</v>
      </c>
      <c r="B83" s="127" t="s">
        <v>216</v>
      </c>
      <c r="C83" s="119">
        <f t="shared" si="5"/>
        <v>0</v>
      </c>
      <c r="D83" s="119"/>
      <c r="E83" s="119"/>
      <c r="F83" s="128"/>
      <c r="G83" s="119"/>
      <c r="H83" s="119"/>
      <c r="I83" s="119"/>
      <c r="J83" s="119"/>
      <c r="K83" s="119"/>
      <c r="L83" s="119"/>
      <c r="M83" s="119"/>
      <c r="N83" s="119"/>
    </row>
    <row r="84" spans="1:14">
      <c r="A84" s="126">
        <v>3292</v>
      </c>
      <c r="B84" s="127" t="s">
        <v>217</v>
      </c>
      <c r="C84" s="119">
        <f t="shared" si="5"/>
        <v>44000</v>
      </c>
      <c r="D84" s="119"/>
      <c r="E84" s="119"/>
      <c r="F84" s="128">
        <v>44000</v>
      </c>
      <c r="G84" s="119"/>
      <c r="H84" s="119"/>
      <c r="I84" s="119"/>
      <c r="J84" s="119"/>
      <c r="K84" s="119"/>
      <c r="L84" s="119"/>
      <c r="M84" s="119"/>
      <c r="N84" s="119"/>
    </row>
    <row r="85" spans="1:14">
      <c r="A85" s="126">
        <v>3293</v>
      </c>
      <c r="B85" s="127" t="s">
        <v>205</v>
      </c>
      <c r="C85" s="119">
        <f t="shared" si="5"/>
        <v>40000</v>
      </c>
      <c r="D85" s="119"/>
      <c r="E85" s="119"/>
      <c r="F85" s="128">
        <v>40000</v>
      </c>
      <c r="G85" s="119"/>
      <c r="H85" s="119"/>
      <c r="I85" s="119"/>
      <c r="J85" s="119"/>
      <c r="K85" s="119"/>
      <c r="L85" s="119"/>
      <c r="M85" s="119"/>
      <c r="N85" s="119"/>
    </row>
    <row r="86" spans="1:14">
      <c r="A86" s="126">
        <v>3294</v>
      </c>
      <c r="B86" s="127" t="s">
        <v>218</v>
      </c>
      <c r="C86" s="119">
        <f t="shared" si="5"/>
        <v>19000</v>
      </c>
      <c r="D86" s="119"/>
      <c r="E86" s="119"/>
      <c r="F86" s="128">
        <v>19000</v>
      </c>
      <c r="G86" s="119"/>
      <c r="H86" s="119"/>
      <c r="I86" s="119"/>
      <c r="J86" s="119"/>
      <c r="K86" s="119"/>
      <c r="L86" s="119"/>
      <c r="M86" s="119"/>
      <c r="N86" s="119"/>
    </row>
    <row r="87" spans="1:14">
      <c r="A87" s="126">
        <v>3295</v>
      </c>
      <c r="B87" s="127" t="s">
        <v>207</v>
      </c>
      <c r="C87" s="119">
        <f t="shared" si="5"/>
        <v>14000</v>
      </c>
      <c r="D87" s="119"/>
      <c r="E87" s="119"/>
      <c r="F87" s="128">
        <v>14000</v>
      </c>
      <c r="G87" s="119"/>
      <c r="H87" s="119"/>
      <c r="I87" s="119"/>
      <c r="J87" s="119"/>
      <c r="K87" s="119"/>
      <c r="L87" s="119"/>
      <c r="M87" s="119"/>
      <c r="N87" s="119"/>
    </row>
    <row r="88" spans="1:14">
      <c r="A88" s="126">
        <v>3296</v>
      </c>
      <c r="B88" s="127" t="s">
        <v>219</v>
      </c>
      <c r="C88" s="119">
        <f t="shared" si="5"/>
        <v>0</v>
      </c>
      <c r="D88" s="119"/>
      <c r="E88" s="119"/>
      <c r="F88" s="128"/>
      <c r="G88" s="119"/>
      <c r="H88" s="119"/>
      <c r="I88" s="119"/>
      <c r="J88" s="119"/>
      <c r="K88" s="119"/>
      <c r="L88" s="119"/>
      <c r="M88" s="119"/>
      <c r="N88" s="119"/>
    </row>
    <row r="89" spans="1:14">
      <c r="A89" s="126">
        <v>3299</v>
      </c>
      <c r="B89" s="127" t="s">
        <v>26</v>
      </c>
      <c r="C89" s="119">
        <f t="shared" si="5"/>
        <v>2000</v>
      </c>
      <c r="D89" s="119"/>
      <c r="E89" s="119"/>
      <c r="F89" s="128">
        <v>2000</v>
      </c>
      <c r="G89" s="119"/>
      <c r="H89" s="119"/>
      <c r="I89" s="119"/>
      <c r="J89" s="119"/>
      <c r="K89" s="119"/>
      <c r="L89" s="119"/>
      <c r="M89" s="119"/>
      <c r="N89" s="119"/>
    </row>
    <row r="90" spans="1:14">
      <c r="A90" s="126">
        <v>3423</v>
      </c>
      <c r="B90" s="127" t="s">
        <v>220</v>
      </c>
      <c r="C90" s="119">
        <f t="shared" si="5"/>
        <v>34680</v>
      </c>
      <c r="D90" s="119"/>
      <c r="E90" s="119"/>
      <c r="F90" s="128">
        <v>34680</v>
      </c>
      <c r="G90" s="119"/>
      <c r="H90" s="119"/>
      <c r="I90" s="119"/>
      <c r="J90" s="119"/>
      <c r="K90" s="119"/>
      <c r="L90" s="119"/>
      <c r="M90" s="119"/>
      <c r="N90" s="119"/>
    </row>
    <row r="91" spans="1:14">
      <c r="A91" s="126">
        <v>3431</v>
      </c>
      <c r="B91" s="127" t="s">
        <v>208</v>
      </c>
      <c r="C91" s="119">
        <f t="shared" si="5"/>
        <v>10000</v>
      </c>
      <c r="D91" s="119"/>
      <c r="E91" s="119"/>
      <c r="F91" s="128">
        <v>10000</v>
      </c>
      <c r="G91" s="119"/>
      <c r="H91" s="119"/>
      <c r="I91" s="119"/>
      <c r="J91" s="119"/>
      <c r="K91" s="119"/>
      <c r="L91" s="119"/>
      <c r="M91" s="119"/>
      <c r="N91" s="119"/>
    </row>
    <row r="92" spans="1:14" ht="25.5">
      <c r="A92" s="126">
        <v>3432</v>
      </c>
      <c r="B92" s="127" t="s">
        <v>221</v>
      </c>
      <c r="C92" s="119">
        <f t="shared" si="5"/>
        <v>3000</v>
      </c>
      <c r="D92" s="119"/>
      <c r="E92" s="119"/>
      <c r="F92" s="128">
        <v>3000</v>
      </c>
      <c r="G92" s="119"/>
      <c r="H92" s="119"/>
      <c r="I92" s="119"/>
      <c r="J92" s="119"/>
      <c r="K92" s="119"/>
      <c r="L92" s="119"/>
      <c r="M92" s="119"/>
      <c r="N92" s="119"/>
    </row>
    <row r="93" spans="1:14">
      <c r="A93" s="126">
        <v>3433</v>
      </c>
      <c r="B93" s="127" t="s">
        <v>222</v>
      </c>
      <c r="C93" s="119">
        <f t="shared" si="5"/>
        <v>500</v>
      </c>
      <c r="D93" s="119"/>
      <c r="E93" s="119"/>
      <c r="F93" s="128">
        <v>500</v>
      </c>
      <c r="G93" s="119"/>
      <c r="H93" s="119"/>
      <c r="I93" s="119"/>
      <c r="J93" s="119"/>
      <c r="K93" s="119"/>
      <c r="L93" s="119"/>
      <c r="M93" s="119"/>
      <c r="N93" s="119"/>
    </row>
    <row r="94" spans="1:14">
      <c r="A94" s="126">
        <v>3434</v>
      </c>
      <c r="B94" s="127" t="s">
        <v>27</v>
      </c>
      <c r="C94" s="119">
        <f t="shared" si="5"/>
        <v>50000</v>
      </c>
      <c r="D94" s="119"/>
      <c r="E94" s="119"/>
      <c r="F94" s="128">
        <v>50000</v>
      </c>
      <c r="G94" s="119"/>
      <c r="H94" s="119"/>
      <c r="I94" s="119"/>
      <c r="J94" s="119"/>
      <c r="K94" s="119"/>
      <c r="L94" s="119"/>
      <c r="M94" s="119"/>
      <c r="N94" s="119"/>
    </row>
    <row r="95" spans="1:14">
      <c r="A95" s="126">
        <v>3831</v>
      </c>
      <c r="B95" s="127" t="s">
        <v>223</v>
      </c>
      <c r="C95" s="119">
        <f t="shared" si="5"/>
        <v>0</v>
      </c>
      <c r="D95" s="119"/>
      <c r="E95" s="119"/>
      <c r="F95" s="128"/>
      <c r="G95" s="119"/>
      <c r="H95" s="119"/>
      <c r="I95" s="119"/>
      <c r="J95" s="119"/>
      <c r="K95" s="119"/>
      <c r="L95" s="119"/>
      <c r="M95" s="119"/>
      <c r="N95" s="119"/>
    </row>
    <row r="96" spans="1:14">
      <c r="A96" s="126"/>
      <c r="B96" s="127"/>
      <c r="C96" s="119"/>
      <c r="D96" s="119"/>
      <c r="E96" s="119"/>
      <c r="F96" s="128"/>
      <c r="G96" s="119"/>
      <c r="H96" s="119"/>
      <c r="I96" s="119"/>
      <c r="J96" s="119"/>
      <c r="K96" s="119"/>
      <c r="L96" s="119"/>
      <c r="M96" s="119"/>
      <c r="N96" s="119"/>
    </row>
    <row r="97" spans="1:14" ht="25.5">
      <c r="A97" s="200" t="s">
        <v>258</v>
      </c>
      <c r="B97" s="120" t="s">
        <v>224</v>
      </c>
      <c r="C97" s="142"/>
      <c r="D97" s="121"/>
      <c r="E97" s="121" t="s">
        <v>225</v>
      </c>
      <c r="F97" s="142"/>
      <c r="G97" s="142"/>
      <c r="H97" s="142"/>
      <c r="I97" s="142"/>
      <c r="J97" s="142"/>
      <c r="K97" s="142"/>
      <c r="L97" s="142"/>
      <c r="M97" s="142"/>
      <c r="N97" s="142"/>
    </row>
    <row r="98" spans="1:14" s="125" customFormat="1" ht="25.5">
      <c r="A98" s="122">
        <v>420801</v>
      </c>
      <c r="B98" s="123" t="s">
        <v>226</v>
      </c>
      <c r="C98" s="124">
        <f>SUM(C99:C111)</f>
        <v>0</v>
      </c>
      <c r="D98" s="124">
        <f>SUM(D99:D111)</f>
        <v>0</v>
      </c>
      <c r="E98" s="124">
        <f>SUM(E99:E111)</f>
        <v>0</v>
      </c>
      <c r="F98" s="124">
        <f t="shared" ref="F98:N98" si="6">SUM(F99:F111)</f>
        <v>0</v>
      </c>
      <c r="G98" s="124">
        <f t="shared" si="6"/>
        <v>0</v>
      </c>
      <c r="H98" s="124">
        <f t="shared" si="6"/>
        <v>0</v>
      </c>
      <c r="I98" s="124">
        <f t="shared" si="6"/>
        <v>0</v>
      </c>
      <c r="J98" s="124">
        <f t="shared" si="6"/>
        <v>0</v>
      </c>
      <c r="K98" s="124">
        <f t="shared" si="6"/>
        <v>0</v>
      </c>
      <c r="L98" s="124">
        <f t="shared" si="6"/>
        <v>0</v>
      </c>
      <c r="M98" s="124">
        <f t="shared" si="6"/>
        <v>0</v>
      </c>
      <c r="N98" s="124">
        <f t="shared" si="6"/>
        <v>0</v>
      </c>
    </row>
    <row r="99" spans="1:14" ht="25.5">
      <c r="A99" s="126">
        <v>3224</v>
      </c>
      <c r="B99" s="127" t="s">
        <v>190</v>
      </c>
      <c r="C99" s="119">
        <f>SUM(D99:L99)</f>
        <v>0</v>
      </c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</row>
    <row r="100" spans="1:14">
      <c r="A100" s="126">
        <v>3232</v>
      </c>
      <c r="B100" s="127" t="s">
        <v>227</v>
      </c>
      <c r="C100" s="119">
        <f t="shared" ref="C100:C110" si="7">SUM(D100:L100)</f>
        <v>0</v>
      </c>
      <c r="D100" s="119"/>
      <c r="E100" s="128"/>
      <c r="F100" s="119"/>
      <c r="G100" s="119"/>
      <c r="H100" s="119"/>
      <c r="I100" s="119"/>
      <c r="J100" s="119"/>
      <c r="K100" s="119"/>
      <c r="L100" s="119"/>
      <c r="M100" s="119"/>
      <c r="N100" s="119"/>
    </row>
    <row r="101" spans="1:14">
      <c r="A101" s="126">
        <v>4123</v>
      </c>
      <c r="B101" s="127" t="s">
        <v>228</v>
      </c>
      <c r="C101" s="119">
        <f t="shared" si="7"/>
        <v>0</v>
      </c>
      <c r="D101" s="119"/>
      <c r="E101" s="128"/>
      <c r="F101" s="119"/>
      <c r="G101" s="119"/>
      <c r="H101" s="119"/>
      <c r="I101" s="119"/>
      <c r="J101" s="119"/>
      <c r="K101" s="119"/>
      <c r="L101" s="119"/>
      <c r="M101" s="119"/>
      <c r="N101" s="119"/>
    </row>
    <row r="102" spans="1:14">
      <c r="A102" s="126">
        <v>4221</v>
      </c>
      <c r="B102" s="127" t="s">
        <v>229</v>
      </c>
      <c r="C102" s="119">
        <f t="shared" si="7"/>
        <v>0</v>
      </c>
      <c r="D102" s="119"/>
      <c r="E102" s="128"/>
      <c r="F102" s="119"/>
      <c r="G102" s="119"/>
      <c r="H102" s="119"/>
      <c r="I102" s="119"/>
      <c r="J102" s="119"/>
      <c r="K102" s="119"/>
      <c r="L102" s="119"/>
      <c r="M102" s="119"/>
      <c r="N102" s="119"/>
    </row>
    <row r="103" spans="1:14">
      <c r="A103" s="126">
        <v>4222</v>
      </c>
      <c r="B103" s="127" t="s">
        <v>230</v>
      </c>
      <c r="C103" s="119">
        <f t="shared" si="7"/>
        <v>0</v>
      </c>
      <c r="D103" s="119"/>
      <c r="E103" s="128"/>
      <c r="F103" s="119"/>
      <c r="G103" s="119"/>
      <c r="H103" s="119"/>
      <c r="I103" s="119"/>
      <c r="J103" s="119"/>
      <c r="K103" s="119"/>
      <c r="L103" s="119"/>
      <c r="M103" s="119"/>
      <c r="N103" s="119"/>
    </row>
    <row r="104" spans="1:14">
      <c r="A104" s="126">
        <v>4223</v>
      </c>
      <c r="B104" s="127" t="s">
        <v>231</v>
      </c>
      <c r="C104" s="119">
        <f t="shared" si="7"/>
        <v>0</v>
      </c>
      <c r="D104" s="119"/>
      <c r="E104" s="128"/>
      <c r="F104" s="119"/>
      <c r="G104" s="119"/>
      <c r="H104" s="119"/>
      <c r="I104" s="119"/>
      <c r="J104" s="119"/>
      <c r="K104" s="119"/>
      <c r="L104" s="119"/>
      <c r="M104" s="119"/>
      <c r="N104" s="119"/>
    </row>
    <row r="105" spans="1:14">
      <c r="A105" s="126">
        <v>4224</v>
      </c>
      <c r="B105" s="127" t="s">
        <v>232</v>
      </c>
      <c r="C105" s="119">
        <f t="shared" si="7"/>
        <v>0</v>
      </c>
      <c r="D105" s="119"/>
      <c r="E105" s="128"/>
      <c r="F105" s="119"/>
      <c r="G105" s="119"/>
      <c r="H105" s="119"/>
      <c r="I105" s="119"/>
      <c r="J105" s="119"/>
      <c r="K105" s="119"/>
      <c r="L105" s="119"/>
      <c r="M105" s="119"/>
      <c r="N105" s="119"/>
    </row>
    <row r="106" spans="1:14">
      <c r="A106" s="126">
        <v>4225</v>
      </c>
      <c r="B106" s="127" t="s">
        <v>233</v>
      </c>
      <c r="C106" s="119">
        <f t="shared" si="7"/>
        <v>0</v>
      </c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</row>
    <row r="107" spans="1:14">
      <c r="A107" s="126">
        <v>4227</v>
      </c>
      <c r="B107" s="127" t="s">
        <v>234</v>
      </c>
      <c r="C107" s="119">
        <f t="shared" si="7"/>
        <v>0</v>
      </c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</row>
    <row r="108" spans="1:14">
      <c r="A108" s="126">
        <v>4231</v>
      </c>
      <c r="B108" s="127" t="s">
        <v>74</v>
      </c>
      <c r="C108" s="119">
        <f t="shared" si="7"/>
        <v>0</v>
      </c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</row>
    <row r="109" spans="1:14">
      <c r="A109" s="126">
        <v>4262</v>
      </c>
      <c r="B109" s="127" t="s">
        <v>235</v>
      </c>
      <c r="C109" s="119">
        <f t="shared" si="7"/>
        <v>0</v>
      </c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</row>
    <row r="110" spans="1:14">
      <c r="A110" s="126">
        <v>4264</v>
      </c>
      <c r="B110" s="127" t="s">
        <v>236</v>
      </c>
      <c r="C110" s="119">
        <f t="shared" si="7"/>
        <v>0</v>
      </c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</row>
    <row r="111" spans="1:14">
      <c r="A111" s="126">
        <v>4511</v>
      </c>
      <c r="B111" s="127" t="s">
        <v>237</v>
      </c>
      <c r="C111" s="119">
        <f>SUM(D111:L111)</f>
        <v>0</v>
      </c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</row>
    <row r="112" spans="1:14" s="125" customFormat="1">
      <c r="A112" s="122">
        <v>420802</v>
      </c>
      <c r="B112" s="123" t="s">
        <v>238</v>
      </c>
      <c r="C112" s="124">
        <f>SUM(C113:C124)</f>
        <v>3930000</v>
      </c>
      <c r="D112" s="138">
        <f>SUM(D113:D124)</f>
        <v>350000</v>
      </c>
      <c r="E112" s="138">
        <f t="shared" ref="E112" si="8">SUM(E113:E124)</f>
        <v>1950250</v>
      </c>
      <c r="F112" s="138">
        <f>SUM(F113:F124)</f>
        <v>1629750</v>
      </c>
      <c r="G112" s="138">
        <f>SUM(G114:G124)</f>
        <v>0</v>
      </c>
      <c r="H112" s="124">
        <f t="shared" ref="H112:N112" si="9">SUM(H114:H124)</f>
        <v>0</v>
      </c>
      <c r="I112" s="124">
        <f t="shared" si="9"/>
        <v>0</v>
      </c>
      <c r="J112" s="124">
        <f t="shared" si="9"/>
        <v>0</v>
      </c>
      <c r="K112" s="124">
        <f t="shared" si="9"/>
        <v>0</v>
      </c>
      <c r="L112" s="138">
        <f t="shared" si="9"/>
        <v>0</v>
      </c>
      <c r="M112" s="138">
        <f t="shared" si="9"/>
        <v>0</v>
      </c>
      <c r="N112" s="138">
        <f t="shared" si="9"/>
        <v>0</v>
      </c>
    </row>
    <row r="113" spans="1:14">
      <c r="A113" s="126">
        <v>3232</v>
      </c>
      <c r="B113" s="127" t="s">
        <v>227</v>
      </c>
      <c r="C113" s="119">
        <f>SUM(D113:N113)</f>
        <v>1200000</v>
      </c>
      <c r="D113" s="165">
        <v>350000</v>
      </c>
      <c r="E113" s="119">
        <v>850000</v>
      </c>
      <c r="F113" s="144"/>
      <c r="G113" s="128"/>
      <c r="H113" s="119"/>
      <c r="I113" s="119"/>
      <c r="J113" s="119"/>
      <c r="K113" s="119"/>
      <c r="L113" s="144"/>
      <c r="M113" s="144"/>
      <c r="N113" s="144"/>
    </row>
    <row r="114" spans="1:14">
      <c r="A114" s="126">
        <v>4123</v>
      </c>
      <c r="B114" s="100" t="s">
        <v>228</v>
      </c>
      <c r="C114" s="119">
        <f>SUM(D114:N114)</f>
        <v>50000</v>
      </c>
      <c r="D114" s="119"/>
      <c r="E114" s="119"/>
      <c r="F114" s="128">
        <v>50000</v>
      </c>
      <c r="G114" s="119"/>
      <c r="H114" s="119"/>
      <c r="I114" s="119"/>
      <c r="J114" s="119"/>
      <c r="K114" s="119"/>
      <c r="L114" s="128"/>
      <c r="M114" s="128"/>
      <c r="N114" s="128"/>
    </row>
    <row r="115" spans="1:14">
      <c r="A115" s="126">
        <v>4221</v>
      </c>
      <c r="B115" s="127" t="s">
        <v>229</v>
      </c>
      <c r="C115" s="119">
        <f t="shared" ref="C115:C124" si="10">SUM(D115:N115)</f>
        <v>300000</v>
      </c>
      <c r="D115" s="119"/>
      <c r="E115" s="119"/>
      <c r="F115" s="128">
        <v>300000</v>
      </c>
      <c r="G115" s="119"/>
      <c r="H115" s="119"/>
      <c r="I115" s="119"/>
      <c r="J115" s="119"/>
      <c r="K115" s="119"/>
      <c r="L115" s="134"/>
      <c r="M115" s="134"/>
      <c r="N115" s="134"/>
    </row>
    <row r="116" spans="1:14">
      <c r="A116" s="126">
        <v>4222</v>
      </c>
      <c r="B116" s="127" t="s">
        <v>230</v>
      </c>
      <c r="C116" s="119">
        <f t="shared" si="10"/>
        <v>70000</v>
      </c>
      <c r="D116" s="119"/>
      <c r="E116" s="119"/>
      <c r="F116" s="128">
        <v>70000</v>
      </c>
      <c r="G116" s="119"/>
      <c r="H116" s="119"/>
      <c r="I116" s="119"/>
      <c r="J116" s="119"/>
      <c r="K116" s="119"/>
      <c r="L116" s="134"/>
      <c r="M116" s="134"/>
      <c r="N116" s="134"/>
    </row>
    <row r="117" spans="1:14">
      <c r="A117" s="126">
        <v>4223</v>
      </c>
      <c r="B117" s="127" t="s">
        <v>231</v>
      </c>
      <c r="C117" s="119">
        <f t="shared" si="10"/>
        <v>60000</v>
      </c>
      <c r="D117" s="119"/>
      <c r="E117" s="119"/>
      <c r="F117" s="128">
        <v>60000</v>
      </c>
      <c r="G117" s="119"/>
      <c r="H117" s="119"/>
      <c r="I117" s="119"/>
      <c r="J117" s="119"/>
      <c r="K117" s="119"/>
      <c r="L117" s="134"/>
      <c r="M117" s="134"/>
      <c r="N117" s="134"/>
    </row>
    <row r="118" spans="1:14">
      <c r="A118" s="126">
        <v>4224</v>
      </c>
      <c r="B118" s="127" t="s">
        <v>232</v>
      </c>
      <c r="C118" s="119">
        <f t="shared" si="10"/>
        <v>1500000</v>
      </c>
      <c r="D118" s="119"/>
      <c r="E118" s="119">
        <v>1100250</v>
      </c>
      <c r="F118" s="128">
        <f>1500000-1100250</f>
        <v>399750</v>
      </c>
      <c r="G118" s="119"/>
      <c r="H118" s="119"/>
      <c r="I118" s="119"/>
      <c r="J118" s="119"/>
      <c r="K118" s="119"/>
      <c r="L118" s="134"/>
      <c r="M118" s="134"/>
      <c r="N118" s="134"/>
    </row>
    <row r="119" spans="1:14">
      <c r="A119" s="126">
        <v>4225</v>
      </c>
      <c r="B119" s="127" t="s">
        <v>233</v>
      </c>
      <c r="C119" s="119">
        <f t="shared" si="10"/>
        <v>0</v>
      </c>
      <c r="D119" s="119"/>
      <c r="E119" s="119"/>
      <c r="F119" s="128"/>
      <c r="G119" s="119"/>
      <c r="H119" s="119"/>
      <c r="I119" s="119"/>
      <c r="J119" s="119"/>
      <c r="K119" s="119"/>
      <c r="L119" s="134"/>
      <c r="M119" s="134"/>
      <c r="N119" s="134"/>
    </row>
    <row r="120" spans="1:14">
      <c r="A120" s="126">
        <v>4227</v>
      </c>
      <c r="B120" s="127" t="s">
        <v>234</v>
      </c>
      <c r="C120" s="119">
        <f t="shared" si="10"/>
        <v>50000</v>
      </c>
      <c r="D120" s="119"/>
      <c r="E120" s="119"/>
      <c r="F120" s="128">
        <v>50000</v>
      </c>
      <c r="G120" s="119"/>
      <c r="H120" s="119"/>
      <c r="I120" s="119"/>
      <c r="J120" s="119"/>
      <c r="K120" s="119"/>
      <c r="L120" s="134"/>
      <c r="M120" s="134"/>
      <c r="N120" s="134"/>
    </row>
    <row r="121" spans="1:14">
      <c r="A121" s="126">
        <v>4231</v>
      </c>
      <c r="B121" s="127" t="s">
        <v>74</v>
      </c>
      <c r="C121" s="119">
        <f t="shared" si="10"/>
        <v>0</v>
      </c>
      <c r="D121" s="119"/>
      <c r="E121" s="119"/>
      <c r="F121" s="128"/>
      <c r="G121" s="119"/>
      <c r="H121" s="119"/>
      <c r="I121" s="119"/>
      <c r="J121" s="119"/>
      <c r="K121" s="119"/>
      <c r="L121" s="134"/>
      <c r="M121" s="134"/>
      <c r="N121" s="134"/>
    </row>
    <row r="122" spans="1:14">
      <c r="A122" s="126">
        <v>4262</v>
      </c>
      <c r="B122" s="127" t="s">
        <v>235</v>
      </c>
      <c r="C122" s="119">
        <f t="shared" si="10"/>
        <v>700000</v>
      </c>
      <c r="D122" s="119"/>
      <c r="E122" s="119"/>
      <c r="F122" s="128">
        <v>700000</v>
      </c>
      <c r="G122" s="128"/>
      <c r="H122" s="119"/>
      <c r="I122" s="119"/>
      <c r="J122" s="119"/>
      <c r="K122" s="119"/>
      <c r="L122" s="134"/>
      <c r="M122" s="134"/>
      <c r="N122" s="134"/>
    </row>
    <row r="123" spans="1:14">
      <c r="A123" s="126">
        <v>4264</v>
      </c>
      <c r="B123" s="127" t="s">
        <v>236</v>
      </c>
      <c r="C123" s="119">
        <f t="shared" si="10"/>
        <v>0</v>
      </c>
      <c r="D123" s="119"/>
      <c r="E123" s="119"/>
      <c r="F123" s="128"/>
      <c r="G123" s="119"/>
      <c r="H123" s="119"/>
      <c r="I123" s="119"/>
      <c r="J123" s="119"/>
      <c r="K123" s="119"/>
      <c r="L123" s="128"/>
      <c r="M123" s="128"/>
      <c r="N123" s="128"/>
    </row>
    <row r="124" spans="1:14">
      <c r="A124" s="126">
        <v>4511</v>
      </c>
      <c r="B124" s="127" t="s">
        <v>237</v>
      </c>
      <c r="C124" s="119">
        <f t="shared" si="10"/>
        <v>0</v>
      </c>
      <c r="D124" s="119"/>
      <c r="E124" s="119"/>
      <c r="F124" s="128"/>
      <c r="G124" s="119"/>
      <c r="H124" s="119"/>
      <c r="I124" s="119"/>
      <c r="J124" s="119"/>
      <c r="K124" s="119"/>
      <c r="L124" s="128"/>
      <c r="M124" s="128"/>
      <c r="N124" s="128"/>
    </row>
    <row r="125" spans="1:14" s="125" customFormat="1">
      <c r="A125" s="136">
        <v>54</v>
      </c>
      <c r="B125" s="137" t="s">
        <v>239</v>
      </c>
      <c r="C125" s="124">
        <f>C126</f>
        <v>1049750</v>
      </c>
      <c r="D125" s="124">
        <f>SUM(D126)</f>
        <v>0</v>
      </c>
      <c r="E125" s="124">
        <f t="shared" ref="E125:K125" si="11">SUM(E126)</f>
        <v>1049750</v>
      </c>
      <c r="F125" s="138">
        <f t="shared" si="11"/>
        <v>0</v>
      </c>
      <c r="G125" s="124">
        <f t="shared" si="11"/>
        <v>0</v>
      </c>
      <c r="H125" s="124">
        <f t="shared" si="11"/>
        <v>0</v>
      </c>
      <c r="I125" s="124">
        <f t="shared" si="11"/>
        <v>0</v>
      </c>
      <c r="J125" s="124">
        <f t="shared" si="11"/>
        <v>0</v>
      </c>
      <c r="K125" s="124">
        <f t="shared" si="11"/>
        <v>0</v>
      </c>
      <c r="L125" s="124">
        <f>SUM(L126)</f>
        <v>0</v>
      </c>
      <c r="M125" s="124">
        <f>SUM(M126)</f>
        <v>0</v>
      </c>
      <c r="N125" s="124">
        <f>SUM(N126)</f>
        <v>0</v>
      </c>
    </row>
    <row r="126" spans="1:14" ht="25.5">
      <c r="A126" s="126">
        <v>5443</v>
      </c>
      <c r="B126" s="127" t="s">
        <v>240</v>
      </c>
      <c r="C126" s="119">
        <f t="shared" ref="C126" si="12">SUM(D126:L126)</f>
        <v>1049750</v>
      </c>
      <c r="D126" s="119"/>
      <c r="E126" s="119">
        <v>1049750</v>
      </c>
      <c r="F126" s="145"/>
      <c r="G126" s="119"/>
      <c r="H126" s="119"/>
      <c r="I126" s="119"/>
      <c r="J126" s="119"/>
      <c r="K126" s="119"/>
      <c r="L126" s="119"/>
      <c r="M126" s="119"/>
      <c r="N126" s="119"/>
    </row>
    <row r="127" spans="1:14">
      <c r="A127" s="146"/>
      <c r="B127" s="147"/>
      <c r="C127" s="148"/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</row>
    <row r="128" spans="1:14">
      <c r="A128" s="146"/>
      <c r="B128" s="147"/>
      <c r="C128" s="148"/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</row>
    <row r="129" spans="1:15" ht="13.5" thickBot="1">
      <c r="A129" s="107"/>
      <c r="B129" s="149" t="s">
        <v>241</v>
      </c>
      <c r="C129" s="150">
        <f>C8+C45+C54+C98+C112+C125</f>
        <v>69000000</v>
      </c>
      <c r="D129" s="150">
        <f>D8+D45+D54+D98+D112+D125</f>
        <v>350000</v>
      </c>
      <c r="E129" s="150">
        <f t="shared" ref="E129:N129" si="13">E8+E45+E54+E98+E112+E125</f>
        <v>3000000</v>
      </c>
      <c r="F129" s="150">
        <f t="shared" si="13"/>
        <v>12215000</v>
      </c>
      <c r="G129" s="150">
        <f t="shared" si="13"/>
        <v>52635000</v>
      </c>
      <c r="H129" s="150">
        <f t="shared" si="13"/>
        <v>100000</v>
      </c>
      <c r="I129" s="150">
        <f t="shared" si="13"/>
        <v>300000</v>
      </c>
      <c r="J129" s="150">
        <f t="shared" si="13"/>
        <v>400000</v>
      </c>
      <c r="K129" s="150">
        <f t="shared" si="13"/>
        <v>0</v>
      </c>
      <c r="L129" s="150">
        <f t="shared" si="13"/>
        <v>0</v>
      </c>
      <c r="M129" s="150">
        <f t="shared" si="13"/>
        <v>0</v>
      </c>
      <c r="N129" s="150">
        <f t="shared" si="13"/>
        <v>0</v>
      </c>
    </row>
    <row r="130" spans="1:15" ht="13.5" thickBot="1">
      <c r="A130" s="151"/>
      <c r="B130" s="152" t="s">
        <v>242</v>
      </c>
      <c r="C130" s="150">
        <f>SUM(D130:N130)</f>
        <v>69000000</v>
      </c>
      <c r="D130" s="153">
        <v>350000</v>
      </c>
      <c r="E130" s="153">
        <v>3000000</v>
      </c>
      <c r="F130" s="154">
        <v>12215000</v>
      </c>
      <c r="G130" s="153">
        <v>52635000</v>
      </c>
      <c r="H130" s="153">
        <v>100000</v>
      </c>
      <c r="I130" s="153">
        <v>300000</v>
      </c>
      <c r="J130" s="153">
        <v>400000</v>
      </c>
      <c r="K130" s="153"/>
      <c r="L130" s="153"/>
      <c r="M130" s="153"/>
      <c r="N130" s="153"/>
      <c r="O130" s="155"/>
    </row>
    <row r="131" spans="1:15">
      <c r="A131" s="151"/>
      <c r="B131" s="152" t="s">
        <v>243</v>
      </c>
      <c r="C131" s="154">
        <f>C129-C130</f>
        <v>0</v>
      </c>
      <c r="D131" s="153"/>
      <c r="E131" s="156">
        <f>E129-E130</f>
        <v>0</v>
      </c>
      <c r="F131" s="156">
        <f>F129-F130</f>
        <v>0</v>
      </c>
      <c r="G131" s="156">
        <f>G129-G130</f>
        <v>0</v>
      </c>
      <c r="H131" s="157">
        <f t="shared" ref="H131:N131" si="14">H129-H130</f>
        <v>0</v>
      </c>
      <c r="I131" s="157">
        <f t="shared" si="14"/>
        <v>0</v>
      </c>
      <c r="J131" s="157">
        <f t="shared" si="14"/>
        <v>0</v>
      </c>
      <c r="K131" s="157">
        <f t="shared" si="14"/>
        <v>0</v>
      </c>
      <c r="L131" s="157">
        <f t="shared" si="14"/>
        <v>0</v>
      </c>
      <c r="M131" s="157">
        <f t="shared" si="14"/>
        <v>0</v>
      </c>
      <c r="N131" s="157">
        <f t="shared" si="14"/>
        <v>0</v>
      </c>
    </row>
    <row r="132" spans="1:15" ht="13.5" thickBot="1">
      <c r="A132" s="151"/>
      <c r="B132" s="152"/>
      <c r="C132" s="154"/>
      <c r="D132" s="153"/>
      <c r="E132" s="154"/>
      <c r="F132" s="154"/>
      <c r="G132" s="153"/>
      <c r="H132" s="153"/>
      <c r="I132" s="153"/>
      <c r="J132" s="153"/>
      <c r="K132" s="153"/>
      <c r="L132" s="153"/>
      <c r="M132" s="153"/>
      <c r="N132" s="153"/>
    </row>
    <row r="133" spans="1:15" ht="13.5" thickBot="1">
      <c r="A133" s="151"/>
      <c r="B133" s="158" t="s">
        <v>244</v>
      </c>
      <c r="C133" s="159" t="s">
        <v>242</v>
      </c>
      <c r="D133" s="160">
        <v>90</v>
      </c>
      <c r="E133" s="161">
        <v>30</v>
      </c>
      <c r="F133" s="161">
        <v>20</v>
      </c>
      <c r="G133" s="161">
        <v>10</v>
      </c>
      <c r="H133" s="161">
        <v>40</v>
      </c>
      <c r="I133" s="161">
        <v>50</v>
      </c>
      <c r="J133" s="161">
        <v>60</v>
      </c>
      <c r="K133" s="161">
        <v>70</v>
      </c>
      <c r="L133" s="161">
        <v>80</v>
      </c>
      <c r="M133" s="161">
        <v>81</v>
      </c>
      <c r="N133" s="162">
        <v>82</v>
      </c>
    </row>
    <row r="134" spans="1:15">
      <c r="A134" s="151"/>
      <c r="B134" s="127">
        <v>100</v>
      </c>
      <c r="C134" s="163">
        <f>SUM(D134:N134)</f>
        <v>53435000</v>
      </c>
      <c r="D134" s="164">
        <f>D8+D45</f>
        <v>0</v>
      </c>
      <c r="E134" s="164">
        <f t="shared" ref="E134:N134" si="15">E8+E45</f>
        <v>0</v>
      </c>
      <c r="F134" s="164">
        <f t="shared" si="15"/>
        <v>0</v>
      </c>
      <c r="G134" s="164">
        <f t="shared" si="15"/>
        <v>52635000</v>
      </c>
      <c r="H134" s="164">
        <f t="shared" si="15"/>
        <v>100000</v>
      </c>
      <c r="I134" s="164">
        <f t="shared" si="15"/>
        <v>300000</v>
      </c>
      <c r="J134" s="164">
        <f t="shared" si="15"/>
        <v>400000</v>
      </c>
      <c r="K134" s="164">
        <f t="shared" si="15"/>
        <v>0</v>
      </c>
      <c r="L134" s="164">
        <f t="shared" si="15"/>
        <v>0</v>
      </c>
      <c r="M134" s="164">
        <f t="shared" si="15"/>
        <v>0</v>
      </c>
      <c r="N134" s="164">
        <f t="shared" si="15"/>
        <v>0</v>
      </c>
    </row>
    <row r="135" spans="1:15">
      <c r="A135" s="151"/>
      <c r="B135" s="127">
        <v>200</v>
      </c>
      <c r="C135" s="143">
        <f t="shared" ref="C135" si="16">SUM(D135:N135)</f>
        <v>10585250</v>
      </c>
      <c r="D135" s="165">
        <f>D54</f>
        <v>0</v>
      </c>
      <c r="E135" s="165">
        <f t="shared" ref="E135:N135" si="17">E54</f>
        <v>0</v>
      </c>
      <c r="F135" s="165">
        <f t="shared" si="17"/>
        <v>10585250</v>
      </c>
      <c r="G135" s="165">
        <f t="shared" si="17"/>
        <v>0</v>
      </c>
      <c r="H135" s="165">
        <f t="shared" si="17"/>
        <v>0</v>
      </c>
      <c r="I135" s="165">
        <f t="shared" si="17"/>
        <v>0</v>
      </c>
      <c r="J135" s="165">
        <f t="shared" si="17"/>
        <v>0</v>
      </c>
      <c r="K135" s="165">
        <f t="shared" si="17"/>
        <v>0</v>
      </c>
      <c r="L135" s="165">
        <f t="shared" si="17"/>
        <v>0</v>
      </c>
      <c r="M135" s="165">
        <f t="shared" si="17"/>
        <v>0</v>
      </c>
      <c r="N135" s="165">
        <f t="shared" si="17"/>
        <v>0</v>
      </c>
    </row>
    <row r="136" spans="1:15" ht="13.5" thickBot="1">
      <c r="A136" s="151"/>
      <c r="B136" s="127">
        <v>300</v>
      </c>
      <c r="C136" s="166">
        <f>SUM(D136:N136)</f>
        <v>4979750</v>
      </c>
      <c r="D136" s="167">
        <f>D98+D112+D125</f>
        <v>350000</v>
      </c>
      <c r="E136" s="167">
        <f t="shared" ref="E136:N136" si="18">E98+E112+E125</f>
        <v>3000000</v>
      </c>
      <c r="F136" s="167">
        <f t="shared" si="18"/>
        <v>1629750</v>
      </c>
      <c r="G136" s="167">
        <f t="shared" si="18"/>
        <v>0</v>
      </c>
      <c r="H136" s="167">
        <f t="shared" si="18"/>
        <v>0</v>
      </c>
      <c r="I136" s="167">
        <f t="shared" si="18"/>
        <v>0</v>
      </c>
      <c r="J136" s="167">
        <f t="shared" si="18"/>
        <v>0</v>
      </c>
      <c r="K136" s="167">
        <f t="shared" si="18"/>
        <v>0</v>
      </c>
      <c r="L136" s="167">
        <f t="shared" si="18"/>
        <v>0</v>
      </c>
      <c r="M136" s="167">
        <f t="shared" si="18"/>
        <v>0</v>
      </c>
      <c r="N136" s="167">
        <f t="shared" si="18"/>
        <v>0</v>
      </c>
    </row>
    <row r="137" spans="1:15" ht="13.5" thickBot="1">
      <c r="A137" s="151"/>
      <c r="B137" s="158" t="s">
        <v>245</v>
      </c>
      <c r="C137" s="168">
        <f>SUM(C134:C136)</f>
        <v>69000000</v>
      </c>
      <c r="D137" s="169">
        <f>SUM(D134:D136)</f>
        <v>350000</v>
      </c>
      <c r="E137" s="169">
        <f t="shared" ref="E137:N137" si="19">SUM(E134:E136)</f>
        <v>3000000</v>
      </c>
      <c r="F137" s="169">
        <f t="shared" si="19"/>
        <v>12215000</v>
      </c>
      <c r="G137" s="169">
        <f t="shared" si="19"/>
        <v>52635000</v>
      </c>
      <c r="H137" s="169">
        <f t="shared" si="19"/>
        <v>100000</v>
      </c>
      <c r="I137" s="169">
        <f t="shared" si="19"/>
        <v>300000</v>
      </c>
      <c r="J137" s="169">
        <f t="shared" si="19"/>
        <v>400000</v>
      </c>
      <c r="K137" s="169">
        <f t="shared" si="19"/>
        <v>0</v>
      </c>
      <c r="L137" s="169">
        <f t="shared" si="19"/>
        <v>0</v>
      </c>
      <c r="M137" s="169">
        <f t="shared" si="19"/>
        <v>0</v>
      </c>
      <c r="N137" s="170">
        <f t="shared" si="19"/>
        <v>0</v>
      </c>
    </row>
    <row r="138" spans="1:15">
      <c r="A138" s="151"/>
      <c r="B138" s="152"/>
      <c r="C138" s="153"/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/>
    </row>
    <row r="139" spans="1:15">
      <c r="A139" s="151"/>
      <c r="B139" s="152"/>
      <c r="C139" s="155"/>
      <c r="D139" s="155"/>
      <c r="E139" s="155"/>
      <c r="F139" s="155"/>
      <c r="G139" s="155"/>
      <c r="H139" s="155"/>
      <c r="I139" s="155"/>
      <c r="J139" s="155"/>
      <c r="K139" s="155"/>
      <c r="L139" s="155"/>
      <c r="M139" s="155"/>
      <c r="N139" s="155"/>
    </row>
    <row r="140" spans="1:15">
      <c r="A140" s="151"/>
      <c r="B140" s="152"/>
      <c r="C140" s="155"/>
      <c r="D140" s="155"/>
      <c r="E140" s="155"/>
      <c r="F140" s="155"/>
      <c r="G140" s="155"/>
      <c r="H140" s="155"/>
      <c r="I140" s="155"/>
      <c r="J140" s="155"/>
      <c r="K140" s="172" t="s">
        <v>268</v>
      </c>
      <c r="L140" s="155"/>
      <c r="M140" s="155"/>
      <c r="N140" s="155"/>
    </row>
    <row r="141" spans="1:15" ht="15.75">
      <c r="A141" s="151"/>
      <c r="B141" s="152"/>
      <c r="C141" s="155"/>
      <c r="D141" s="155"/>
      <c r="E141" s="155"/>
      <c r="F141" s="155"/>
      <c r="G141" s="155"/>
      <c r="H141" s="155"/>
      <c r="I141" s="155"/>
      <c r="J141" s="171"/>
      <c r="K141" s="172" t="s">
        <v>269</v>
      </c>
      <c r="L141" s="171"/>
      <c r="M141" s="171"/>
      <c r="N141" s="171"/>
    </row>
    <row r="142" spans="1:15" ht="15.75">
      <c r="A142" s="151"/>
      <c r="B142" s="152"/>
      <c r="C142" s="155"/>
      <c r="D142" s="155"/>
      <c r="E142" s="155"/>
      <c r="F142" s="155"/>
      <c r="G142" s="155"/>
      <c r="H142" s="155"/>
      <c r="I142" s="155"/>
      <c r="J142" s="171"/>
      <c r="K142" s="171"/>
      <c r="L142" s="171"/>
      <c r="M142" s="171"/>
      <c r="N142" s="171"/>
    </row>
    <row r="143" spans="1:15">
      <c r="A143" s="151"/>
      <c r="B143" s="152"/>
      <c r="C143" s="155"/>
      <c r="D143" s="155"/>
      <c r="E143" s="155"/>
      <c r="F143" s="155"/>
      <c r="G143" s="155"/>
      <c r="H143" s="155"/>
      <c r="I143" s="155"/>
      <c r="J143" s="172"/>
      <c r="K143" s="172" t="s">
        <v>270</v>
      </c>
      <c r="L143" s="172"/>
      <c r="M143" s="172"/>
      <c r="N143" s="172"/>
    </row>
    <row r="144" spans="1:15">
      <c r="A144" s="151"/>
      <c r="B144" s="152"/>
      <c r="C144" s="155"/>
      <c r="D144" s="155"/>
      <c r="E144" s="155"/>
      <c r="F144" s="155"/>
      <c r="G144" s="155"/>
      <c r="H144" s="155"/>
      <c r="I144" s="155"/>
      <c r="J144" s="172"/>
      <c r="K144" s="172"/>
      <c r="L144" s="172"/>
      <c r="M144" s="172"/>
      <c r="N144" s="172"/>
    </row>
    <row r="145" spans="1:14">
      <c r="A145" s="151"/>
      <c r="B145" s="152"/>
      <c r="C145" s="155"/>
      <c r="D145" s="155"/>
      <c r="E145" s="155"/>
      <c r="F145" s="155"/>
      <c r="G145" s="155"/>
      <c r="H145" s="155"/>
      <c r="I145" s="155"/>
      <c r="J145" s="172"/>
      <c r="K145" s="172"/>
      <c r="L145" s="172"/>
      <c r="M145" s="172"/>
      <c r="N145" s="172"/>
    </row>
    <row r="146" spans="1:14">
      <c r="A146" s="151"/>
      <c r="B146" s="152"/>
      <c r="C146" s="155"/>
      <c r="D146" s="155"/>
      <c r="E146" s="155"/>
      <c r="F146" s="155"/>
      <c r="G146" s="155"/>
      <c r="H146" s="155"/>
      <c r="I146" s="155"/>
      <c r="J146" s="155"/>
      <c r="K146" s="155"/>
      <c r="L146" s="155"/>
      <c r="M146" s="155"/>
      <c r="N146" s="155"/>
    </row>
    <row r="147" spans="1:14">
      <c r="A147" s="151"/>
      <c r="B147" s="152"/>
      <c r="C147" s="155"/>
      <c r="D147" s="155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</row>
    <row r="148" spans="1:14">
      <c r="A148" s="151"/>
      <c r="B148" s="152"/>
      <c r="C148" s="155"/>
      <c r="D148" s="155"/>
      <c r="E148" s="155"/>
      <c r="F148" s="155"/>
      <c r="G148" s="155"/>
      <c r="H148" s="155"/>
      <c r="I148" s="155"/>
      <c r="J148" s="155"/>
      <c r="K148" s="155"/>
      <c r="L148" s="155"/>
      <c r="M148" s="155"/>
      <c r="N148" s="155"/>
    </row>
    <row r="149" spans="1:14">
      <c r="A149" s="151"/>
      <c r="B149" s="152"/>
      <c r="C149" s="155"/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</row>
    <row r="150" spans="1:14">
      <c r="A150" s="151"/>
      <c r="B150" s="152"/>
      <c r="C150" s="155"/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</row>
    <row r="151" spans="1:14">
      <c r="A151" s="151"/>
      <c r="B151" s="152"/>
      <c r="C151" s="155"/>
      <c r="D151" s="155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</row>
    <row r="152" spans="1:14">
      <c r="A152" s="151"/>
      <c r="B152" s="152"/>
      <c r="C152" s="155"/>
      <c r="D152" s="155"/>
      <c r="E152" s="155"/>
      <c r="F152" s="155"/>
      <c r="G152" s="155"/>
      <c r="H152" s="155"/>
      <c r="I152" s="155"/>
      <c r="J152" s="155"/>
      <c r="K152" s="155"/>
      <c r="L152" s="155"/>
      <c r="M152" s="155"/>
      <c r="N152" s="155"/>
    </row>
    <row r="153" spans="1:14">
      <c r="A153" s="151"/>
      <c r="B153" s="152"/>
      <c r="C153" s="155"/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</row>
    <row r="154" spans="1:14">
      <c r="A154" s="151"/>
      <c r="B154" s="152"/>
      <c r="C154" s="155"/>
      <c r="D154" s="155"/>
      <c r="E154" s="155"/>
      <c r="F154" s="155"/>
      <c r="G154" s="155"/>
      <c r="H154" s="155"/>
      <c r="I154" s="155"/>
      <c r="J154" s="155"/>
      <c r="K154" s="155"/>
      <c r="L154" s="155"/>
      <c r="M154" s="155"/>
      <c r="N154" s="155"/>
    </row>
    <row r="155" spans="1:14">
      <c r="A155" s="151"/>
      <c r="B155" s="152"/>
      <c r="C155" s="155"/>
      <c r="D155" s="155"/>
      <c r="E155" s="155"/>
      <c r="F155" s="155"/>
      <c r="G155" s="155"/>
      <c r="H155" s="155"/>
      <c r="I155" s="155"/>
      <c r="J155" s="155"/>
      <c r="K155" s="155"/>
      <c r="L155" s="155"/>
      <c r="M155" s="155"/>
      <c r="N155" s="155"/>
    </row>
    <row r="156" spans="1:14">
      <c r="A156" s="151"/>
      <c r="B156" s="152"/>
      <c r="C156" s="155"/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</row>
    <row r="157" spans="1:14">
      <c r="A157" s="151"/>
      <c r="B157" s="152"/>
      <c r="C157" s="155"/>
      <c r="D157" s="155"/>
      <c r="E157" s="155"/>
      <c r="F157" s="155"/>
      <c r="G157" s="155"/>
      <c r="H157" s="155"/>
      <c r="I157" s="155"/>
      <c r="J157" s="155"/>
      <c r="K157" s="155"/>
      <c r="L157" s="155"/>
      <c r="M157" s="155"/>
      <c r="N157" s="155"/>
    </row>
    <row r="158" spans="1:14">
      <c r="A158" s="151"/>
      <c r="B158" s="152"/>
      <c r="C158" s="155"/>
      <c r="D158" s="155"/>
      <c r="E158" s="155"/>
      <c r="F158" s="155"/>
      <c r="G158" s="155"/>
      <c r="H158" s="155"/>
      <c r="I158" s="155"/>
      <c r="J158" s="155"/>
      <c r="K158" s="155"/>
      <c r="L158" s="155"/>
      <c r="M158" s="155"/>
      <c r="N158" s="155"/>
    </row>
    <row r="159" spans="1:14">
      <c r="A159" s="151"/>
      <c r="B159" s="152"/>
      <c r="C159" s="155"/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</row>
    <row r="160" spans="1:14">
      <c r="A160" s="151"/>
      <c r="B160" s="152"/>
      <c r="C160" s="155"/>
      <c r="D160" s="155"/>
      <c r="E160" s="155"/>
      <c r="F160" s="155"/>
      <c r="G160" s="155"/>
      <c r="H160" s="155"/>
      <c r="I160" s="155"/>
      <c r="J160" s="155"/>
      <c r="K160" s="155"/>
      <c r="L160" s="155"/>
      <c r="M160" s="155"/>
      <c r="N160" s="155"/>
    </row>
    <row r="161" spans="1:14">
      <c r="A161" s="151"/>
      <c r="B161" s="152"/>
      <c r="C161" s="155"/>
      <c r="D161" s="155"/>
      <c r="E161" s="155"/>
      <c r="F161" s="155"/>
      <c r="G161" s="155"/>
      <c r="H161" s="155"/>
      <c r="I161" s="155"/>
      <c r="J161" s="155"/>
      <c r="K161" s="155"/>
      <c r="L161" s="155"/>
      <c r="M161" s="155"/>
      <c r="N161" s="155"/>
    </row>
    <row r="162" spans="1:14">
      <c r="A162" s="151"/>
      <c r="B162" s="152"/>
      <c r="C162" s="155"/>
      <c r="D162" s="155"/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</row>
    <row r="163" spans="1:14">
      <c r="A163" s="151"/>
      <c r="B163" s="152"/>
      <c r="C163" s="155"/>
      <c r="D163" s="155"/>
      <c r="E163" s="155"/>
      <c r="F163" s="155"/>
      <c r="G163" s="155"/>
      <c r="H163" s="155"/>
      <c r="I163" s="155"/>
      <c r="J163" s="155"/>
      <c r="K163" s="155"/>
      <c r="L163" s="155"/>
      <c r="M163" s="155"/>
      <c r="N163" s="155"/>
    </row>
    <row r="164" spans="1:14">
      <c r="A164" s="151"/>
      <c r="B164" s="152"/>
      <c r="C164" s="155"/>
      <c r="D164" s="155"/>
      <c r="E164" s="155"/>
      <c r="F164" s="155"/>
      <c r="G164" s="155"/>
      <c r="H164" s="155"/>
      <c r="I164" s="155"/>
      <c r="J164" s="155"/>
      <c r="K164" s="155"/>
      <c r="L164" s="155"/>
      <c r="M164" s="155"/>
      <c r="N164" s="155"/>
    </row>
    <row r="165" spans="1:14">
      <c r="A165" s="151"/>
      <c r="B165" s="152"/>
      <c r="C165" s="155"/>
      <c r="D165" s="155"/>
      <c r="E165" s="155"/>
      <c r="F165" s="155"/>
      <c r="G165" s="155"/>
      <c r="H165" s="155"/>
      <c r="I165" s="155"/>
      <c r="J165" s="155"/>
      <c r="K165" s="155"/>
      <c r="L165" s="155"/>
      <c r="M165" s="155"/>
      <c r="N165" s="155"/>
    </row>
    <row r="166" spans="1:14">
      <c r="A166" s="151"/>
      <c r="B166" s="152"/>
      <c r="C166" s="155"/>
      <c r="D166" s="155"/>
      <c r="E166" s="155"/>
      <c r="F166" s="155"/>
      <c r="G166" s="155"/>
      <c r="H166" s="155"/>
      <c r="I166" s="155"/>
      <c r="J166" s="155"/>
      <c r="K166" s="155"/>
      <c r="L166" s="155"/>
      <c r="M166" s="155"/>
      <c r="N166" s="155"/>
    </row>
    <row r="167" spans="1:14">
      <c r="A167" s="151"/>
      <c r="B167" s="152"/>
      <c r="C167" s="155"/>
      <c r="D167" s="155"/>
      <c r="E167" s="155"/>
      <c r="F167" s="155"/>
      <c r="G167" s="155"/>
      <c r="H167" s="155"/>
      <c r="I167" s="155"/>
      <c r="J167" s="155"/>
      <c r="K167" s="155"/>
      <c r="L167" s="155"/>
      <c r="M167" s="155"/>
      <c r="N167" s="155"/>
    </row>
    <row r="168" spans="1:14">
      <c r="A168" s="151"/>
      <c r="B168" s="152"/>
      <c r="C168" s="155"/>
      <c r="D168" s="155"/>
      <c r="E168" s="155"/>
      <c r="F168" s="155"/>
      <c r="G168" s="155"/>
      <c r="H168" s="155"/>
      <c r="I168" s="155"/>
      <c r="J168" s="155"/>
      <c r="K168" s="155"/>
      <c r="L168" s="155"/>
      <c r="M168" s="155"/>
      <c r="N168" s="155"/>
    </row>
    <row r="169" spans="1:14">
      <c r="A169" s="151"/>
      <c r="B169" s="152"/>
      <c r="C169" s="155"/>
      <c r="D169" s="155"/>
      <c r="E169" s="155"/>
      <c r="F169" s="155"/>
      <c r="G169" s="155"/>
      <c r="H169" s="155"/>
      <c r="I169" s="155"/>
      <c r="J169" s="155"/>
      <c r="K169" s="155"/>
      <c r="L169" s="155"/>
      <c r="M169" s="155"/>
      <c r="N169" s="155"/>
    </row>
    <row r="170" spans="1:14">
      <c r="A170" s="151"/>
      <c r="B170" s="152"/>
      <c r="C170" s="155"/>
      <c r="D170" s="155"/>
      <c r="E170" s="155"/>
      <c r="F170" s="155"/>
      <c r="G170" s="155"/>
      <c r="H170" s="155"/>
      <c r="I170" s="155"/>
      <c r="J170" s="155"/>
      <c r="K170" s="155"/>
      <c r="L170" s="155"/>
      <c r="M170" s="155"/>
      <c r="N170" s="155"/>
    </row>
    <row r="171" spans="1:14">
      <c r="A171" s="151"/>
      <c r="B171" s="152"/>
      <c r="C171" s="155"/>
      <c r="D171" s="155"/>
      <c r="E171" s="155"/>
      <c r="F171" s="155"/>
      <c r="G171" s="155"/>
      <c r="H171" s="155"/>
      <c r="I171" s="155"/>
      <c r="J171" s="155"/>
      <c r="K171" s="155"/>
      <c r="L171" s="155"/>
      <c r="M171" s="155"/>
      <c r="N171" s="155"/>
    </row>
    <row r="172" spans="1:14">
      <c r="A172" s="151"/>
      <c r="B172" s="152"/>
      <c r="C172" s="155"/>
      <c r="D172" s="155"/>
      <c r="E172" s="155"/>
      <c r="F172" s="155"/>
      <c r="G172" s="155"/>
      <c r="H172" s="155"/>
      <c r="I172" s="155"/>
      <c r="J172" s="155"/>
      <c r="K172" s="155"/>
      <c r="L172" s="155"/>
      <c r="M172" s="155"/>
      <c r="N172" s="155"/>
    </row>
    <row r="173" spans="1:14">
      <c r="A173" s="151"/>
      <c r="B173" s="152"/>
      <c r="C173" s="155"/>
      <c r="D173" s="155"/>
      <c r="E173" s="155"/>
      <c r="F173" s="155"/>
      <c r="G173" s="155"/>
      <c r="H173" s="155"/>
      <c r="I173" s="155"/>
      <c r="J173" s="155"/>
      <c r="K173" s="155"/>
      <c r="L173" s="155"/>
      <c r="M173" s="155"/>
      <c r="N173" s="155"/>
    </row>
    <row r="174" spans="1:14">
      <c r="A174" s="151"/>
      <c r="B174" s="152"/>
      <c r="C174" s="155"/>
      <c r="D174" s="155"/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</row>
    <row r="175" spans="1:14">
      <c r="A175" s="151"/>
      <c r="B175" s="152"/>
      <c r="C175" s="155"/>
      <c r="D175" s="155"/>
      <c r="E175" s="155"/>
      <c r="F175" s="155"/>
      <c r="G175" s="155"/>
      <c r="H175" s="155"/>
      <c r="I175" s="155"/>
      <c r="J175" s="155"/>
      <c r="K175" s="155"/>
      <c r="L175" s="155"/>
      <c r="M175" s="155"/>
      <c r="N175" s="155"/>
    </row>
    <row r="176" spans="1:14">
      <c r="A176" s="151"/>
      <c r="B176" s="152"/>
      <c r="C176" s="155"/>
      <c r="D176" s="155"/>
      <c r="E176" s="155"/>
      <c r="F176" s="155"/>
      <c r="G176" s="155"/>
      <c r="H176" s="155"/>
      <c r="I176" s="155"/>
      <c r="J176" s="155"/>
      <c r="K176" s="155"/>
      <c r="L176" s="155"/>
      <c r="M176" s="155"/>
      <c r="N176" s="155"/>
    </row>
    <row r="177" spans="1:14">
      <c r="A177" s="151"/>
      <c r="B177" s="152"/>
      <c r="C177" s="155"/>
      <c r="D177" s="155"/>
      <c r="E177" s="155"/>
      <c r="F177" s="155"/>
      <c r="G177" s="155"/>
      <c r="H177" s="155"/>
      <c r="I177" s="155"/>
      <c r="J177" s="155"/>
      <c r="K177" s="155"/>
      <c r="L177" s="155"/>
      <c r="M177" s="155"/>
      <c r="N177" s="155"/>
    </row>
    <row r="178" spans="1:14">
      <c r="A178" s="151"/>
      <c r="B178" s="152"/>
      <c r="C178" s="155"/>
      <c r="D178" s="155"/>
      <c r="E178" s="155"/>
      <c r="F178" s="155"/>
      <c r="G178" s="155"/>
      <c r="H178" s="155"/>
      <c r="I178" s="155"/>
      <c r="J178" s="155"/>
      <c r="K178" s="155"/>
      <c r="L178" s="155"/>
      <c r="M178" s="155"/>
      <c r="N178" s="155"/>
    </row>
    <row r="179" spans="1:14">
      <c r="A179" s="151"/>
      <c r="B179" s="152"/>
      <c r="C179" s="155"/>
      <c r="D179" s="155"/>
      <c r="E179" s="155"/>
      <c r="F179" s="155"/>
      <c r="G179" s="155"/>
      <c r="H179" s="155"/>
      <c r="I179" s="155"/>
      <c r="J179" s="155"/>
      <c r="K179" s="155"/>
      <c r="L179" s="155"/>
      <c r="M179" s="155"/>
      <c r="N179" s="155"/>
    </row>
    <row r="180" spans="1:14">
      <c r="A180" s="151"/>
      <c r="B180" s="152"/>
      <c r="C180" s="155"/>
      <c r="D180" s="155"/>
      <c r="E180" s="155"/>
      <c r="F180" s="155"/>
      <c r="G180" s="155"/>
      <c r="H180" s="155"/>
      <c r="I180" s="155"/>
      <c r="J180" s="155"/>
      <c r="K180" s="155"/>
      <c r="L180" s="155"/>
      <c r="M180" s="155"/>
      <c r="N180" s="155"/>
    </row>
    <row r="181" spans="1:14">
      <c r="A181" s="151"/>
      <c r="B181" s="152"/>
      <c r="C181" s="155"/>
      <c r="D181" s="155"/>
      <c r="E181" s="155"/>
      <c r="F181" s="155"/>
      <c r="G181" s="155"/>
      <c r="H181" s="155"/>
      <c r="I181" s="155"/>
      <c r="J181" s="155"/>
      <c r="K181" s="155"/>
      <c r="L181" s="155"/>
      <c r="M181" s="155"/>
      <c r="N181" s="155"/>
    </row>
    <row r="182" spans="1:14">
      <c r="A182" s="151"/>
      <c r="B182" s="152"/>
      <c r="C182" s="155"/>
      <c r="D182" s="155"/>
      <c r="E182" s="155"/>
      <c r="F182" s="155"/>
      <c r="G182" s="155"/>
      <c r="H182" s="155"/>
      <c r="I182" s="155"/>
      <c r="J182" s="155"/>
      <c r="K182" s="155"/>
      <c r="L182" s="155"/>
      <c r="M182" s="155"/>
      <c r="N182" s="155"/>
    </row>
    <row r="183" spans="1:14">
      <c r="A183" s="151"/>
      <c r="B183" s="152"/>
      <c r="C183" s="155"/>
      <c r="D183" s="155"/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</row>
    <row r="184" spans="1:14">
      <c r="A184" s="151"/>
      <c r="B184" s="152"/>
      <c r="C184" s="155"/>
      <c r="D184" s="155"/>
      <c r="E184" s="155"/>
      <c r="F184" s="155"/>
      <c r="G184" s="155"/>
      <c r="H184" s="155"/>
      <c r="I184" s="155"/>
      <c r="J184" s="155"/>
      <c r="K184" s="155"/>
      <c r="L184" s="155"/>
      <c r="M184" s="155"/>
      <c r="N184" s="155"/>
    </row>
    <row r="185" spans="1:14">
      <c r="A185" s="151"/>
      <c r="B185" s="152"/>
      <c r="C185" s="155"/>
      <c r="D185" s="155"/>
      <c r="E185" s="155"/>
      <c r="F185" s="155"/>
      <c r="G185" s="155"/>
      <c r="H185" s="155"/>
      <c r="I185" s="155"/>
      <c r="J185" s="155"/>
      <c r="K185" s="155"/>
      <c r="L185" s="155"/>
      <c r="M185" s="155"/>
      <c r="N185" s="155"/>
    </row>
    <row r="186" spans="1:14">
      <c r="A186" s="151"/>
      <c r="B186" s="152"/>
      <c r="C186" s="155"/>
      <c r="D186" s="155"/>
      <c r="E186" s="155"/>
      <c r="F186" s="155"/>
      <c r="G186" s="155"/>
      <c r="H186" s="155"/>
      <c r="I186" s="155"/>
      <c r="J186" s="155"/>
      <c r="K186" s="155"/>
      <c r="L186" s="155"/>
      <c r="M186" s="155"/>
      <c r="N186" s="155"/>
    </row>
    <row r="187" spans="1:14">
      <c r="A187" s="151"/>
      <c r="B187" s="152"/>
      <c r="C187" s="155"/>
      <c r="D187" s="155"/>
      <c r="E187" s="155"/>
      <c r="F187" s="155"/>
      <c r="G187" s="155"/>
      <c r="H187" s="155"/>
      <c r="I187" s="155"/>
      <c r="J187" s="155"/>
      <c r="K187" s="155"/>
      <c r="L187" s="155"/>
      <c r="M187" s="155"/>
      <c r="N187" s="155"/>
    </row>
    <row r="188" spans="1:14">
      <c r="A188" s="151"/>
      <c r="B188" s="152"/>
      <c r="C188" s="155"/>
      <c r="D188" s="155"/>
      <c r="E188" s="155"/>
      <c r="F188" s="155"/>
      <c r="G188" s="155"/>
      <c r="H188" s="155"/>
      <c r="I188" s="155"/>
      <c r="J188" s="155"/>
      <c r="K188" s="155"/>
      <c r="L188" s="155"/>
      <c r="M188" s="155"/>
      <c r="N188" s="155"/>
    </row>
    <row r="189" spans="1:14">
      <c r="A189" s="151"/>
      <c r="B189" s="152"/>
      <c r="C189" s="155"/>
      <c r="D189" s="155"/>
      <c r="E189" s="155"/>
      <c r="F189" s="155"/>
      <c r="G189" s="155"/>
      <c r="H189" s="155"/>
      <c r="I189" s="155"/>
      <c r="J189" s="155"/>
      <c r="K189" s="155"/>
      <c r="L189" s="155"/>
      <c r="M189" s="155"/>
      <c r="N189" s="155"/>
    </row>
    <row r="190" spans="1:14">
      <c r="A190" s="151"/>
      <c r="B190" s="152"/>
      <c r="C190" s="155"/>
      <c r="D190" s="155"/>
      <c r="E190" s="155"/>
      <c r="F190" s="155"/>
      <c r="G190" s="155"/>
      <c r="H190" s="155"/>
      <c r="I190" s="155"/>
      <c r="J190" s="155"/>
      <c r="K190" s="155"/>
      <c r="L190" s="155"/>
      <c r="M190" s="155"/>
      <c r="N190" s="155"/>
    </row>
    <row r="191" spans="1:14">
      <c r="A191" s="151"/>
      <c r="B191" s="152"/>
      <c r="C191" s="155"/>
      <c r="D191" s="155"/>
      <c r="E191" s="155"/>
      <c r="F191" s="155"/>
      <c r="G191" s="155"/>
      <c r="H191" s="155"/>
      <c r="I191" s="155"/>
      <c r="J191" s="155"/>
      <c r="K191" s="155"/>
      <c r="L191" s="155"/>
      <c r="M191" s="155"/>
      <c r="N191" s="155"/>
    </row>
    <row r="192" spans="1:14">
      <c r="A192" s="151"/>
      <c r="B192" s="152"/>
      <c r="C192" s="155"/>
      <c r="D192" s="155"/>
      <c r="E192" s="155"/>
      <c r="F192" s="155"/>
      <c r="G192" s="155"/>
      <c r="H192" s="155"/>
      <c r="I192" s="155"/>
      <c r="J192" s="155"/>
      <c r="K192" s="155"/>
      <c r="L192" s="155"/>
      <c r="M192" s="155"/>
      <c r="N192" s="155"/>
    </row>
    <row r="193" spans="1:14">
      <c r="A193" s="151"/>
      <c r="B193" s="152"/>
      <c r="C193" s="155"/>
      <c r="D193" s="155"/>
      <c r="E193" s="155"/>
      <c r="F193" s="155"/>
      <c r="G193" s="155"/>
      <c r="H193" s="155"/>
      <c r="I193" s="155"/>
      <c r="J193" s="155"/>
      <c r="K193" s="155"/>
      <c r="L193" s="155"/>
      <c r="M193" s="155"/>
      <c r="N193" s="155"/>
    </row>
    <row r="194" spans="1:14">
      <c r="A194" s="151"/>
      <c r="B194" s="152"/>
      <c r="C194" s="155"/>
      <c r="D194" s="155"/>
      <c r="E194" s="155"/>
      <c r="F194" s="155"/>
      <c r="G194" s="155"/>
      <c r="H194" s="155"/>
      <c r="I194" s="155"/>
      <c r="J194" s="155"/>
      <c r="K194" s="155"/>
      <c r="L194" s="155"/>
      <c r="M194" s="155"/>
      <c r="N194" s="155"/>
    </row>
    <row r="195" spans="1:14">
      <c r="A195" s="151"/>
      <c r="B195" s="152"/>
      <c r="C195" s="155"/>
      <c r="D195" s="155"/>
      <c r="E195" s="155"/>
      <c r="F195" s="155"/>
      <c r="G195" s="155"/>
      <c r="H195" s="155"/>
      <c r="I195" s="155"/>
      <c r="J195" s="155"/>
      <c r="K195" s="155"/>
      <c r="L195" s="155"/>
      <c r="M195" s="155"/>
      <c r="N195" s="155"/>
    </row>
    <row r="196" spans="1:14">
      <c r="A196" s="151"/>
      <c r="B196" s="152"/>
      <c r="C196" s="155"/>
      <c r="D196" s="155"/>
      <c r="E196" s="155"/>
      <c r="F196" s="155"/>
      <c r="G196" s="155"/>
      <c r="H196" s="155"/>
      <c r="I196" s="155"/>
      <c r="J196" s="155"/>
      <c r="K196" s="155"/>
      <c r="L196" s="155"/>
      <c r="M196" s="155"/>
      <c r="N196" s="155"/>
    </row>
    <row r="197" spans="1:14">
      <c r="A197" s="151"/>
      <c r="B197" s="152"/>
      <c r="C197" s="155"/>
      <c r="D197" s="155"/>
      <c r="E197" s="155"/>
      <c r="F197" s="155"/>
      <c r="G197" s="155"/>
      <c r="H197" s="155"/>
      <c r="I197" s="155"/>
      <c r="J197" s="155"/>
      <c r="K197" s="155"/>
      <c r="L197" s="155"/>
      <c r="M197" s="155"/>
      <c r="N197" s="155"/>
    </row>
    <row r="198" spans="1:14">
      <c r="A198" s="151"/>
      <c r="B198" s="152"/>
      <c r="C198" s="155"/>
      <c r="D198" s="155"/>
      <c r="E198" s="155"/>
      <c r="F198" s="155"/>
      <c r="G198" s="155"/>
      <c r="H198" s="155"/>
      <c r="I198" s="155"/>
      <c r="J198" s="155"/>
      <c r="K198" s="155"/>
      <c r="L198" s="155"/>
      <c r="M198" s="155"/>
      <c r="N198" s="155"/>
    </row>
    <row r="199" spans="1:14">
      <c r="A199" s="151"/>
      <c r="B199" s="152"/>
      <c r="C199" s="155"/>
      <c r="D199" s="155"/>
      <c r="E199" s="155"/>
      <c r="F199" s="155"/>
      <c r="G199" s="155"/>
      <c r="H199" s="155"/>
      <c r="I199" s="155"/>
      <c r="J199" s="155"/>
      <c r="K199" s="155"/>
      <c r="L199" s="155"/>
      <c r="M199" s="155"/>
      <c r="N199" s="155"/>
    </row>
    <row r="200" spans="1:14">
      <c r="A200" s="151"/>
      <c r="B200" s="152"/>
      <c r="C200" s="155"/>
      <c r="D200" s="155"/>
      <c r="E200" s="155"/>
      <c r="F200" s="155"/>
      <c r="G200" s="155"/>
      <c r="H200" s="155"/>
      <c r="I200" s="155"/>
      <c r="J200" s="155"/>
      <c r="K200" s="155"/>
      <c r="L200" s="155"/>
      <c r="M200" s="155"/>
      <c r="N200" s="155"/>
    </row>
    <row r="201" spans="1:14">
      <c r="A201" s="151"/>
      <c r="B201" s="152"/>
      <c r="C201" s="155"/>
      <c r="D201" s="155"/>
      <c r="E201" s="155"/>
      <c r="F201" s="155"/>
      <c r="G201" s="155"/>
      <c r="H201" s="155"/>
      <c r="I201" s="155"/>
      <c r="J201" s="155"/>
      <c r="K201" s="155"/>
      <c r="L201" s="155"/>
      <c r="M201" s="155"/>
      <c r="N201" s="155"/>
    </row>
    <row r="202" spans="1:14">
      <c r="A202" s="151"/>
      <c r="B202" s="152"/>
      <c r="C202" s="155"/>
      <c r="D202" s="155"/>
      <c r="E202" s="155"/>
      <c r="F202" s="155"/>
      <c r="G202" s="155"/>
      <c r="H202" s="155"/>
      <c r="I202" s="155"/>
      <c r="J202" s="155"/>
      <c r="K202" s="155"/>
      <c r="L202" s="155"/>
      <c r="M202" s="155"/>
      <c r="N202" s="155"/>
    </row>
    <row r="203" spans="1:14">
      <c r="A203" s="151"/>
      <c r="B203" s="152"/>
      <c r="C203" s="155"/>
      <c r="D203" s="155"/>
      <c r="E203" s="155"/>
      <c r="F203" s="155"/>
      <c r="G203" s="155"/>
      <c r="H203" s="155"/>
      <c r="I203" s="155"/>
      <c r="J203" s="155"/>
      <c r="K203" s="155"/>
      <c r="L203" s="155"/>
      <c r="M203" s="155"/>
      <c r="N203" s="155"/>
    </row>
    <row r="204" spans="1:14">
      <c r="A204" s="151"/>
      <c r="B204" s="152"/>
      <c r="C204" s="155"/>
      <c r="D204" s="155"/>
      <c r="E204" s="155"/>
      <c r="F204" s="155"/>
      <c r="G204" s="155"/>
      <c r="H204" s="155"/>
      <c r="I204" s="155"/>
      <c r="J204" s="155"/>
      <c r="K204" s="155"/>
      <c r="L204" s="155"/>
      <c r="M204" s="155"/>
      <c r="N204" s="155"/>
    </row>
    <row r="205" spans="1:14">
      <c r="A205" s="151"/>
      <c r="B205" s="152"/>
      <c r="C205" s="155"/>
      <c r="D205" s="155"/>
      <c r="E205" s="155"/>
      <c r="F205" s="155"/>
      <c r="G205" s="155"/>
      <c r="H205" s="155"/>
      <c r="I205" s="155"/>
      <c r="J205" s="155"/>
      <c r="K205" s="155"/>
      <c r="L205" s="155"/>
      <c r="M205" s="155"/>
      <c r="N205" s="155"/>
    </row>
    <row r="206" spans="1:14">
      <c r="A206" s="151"/>
      <c r="B206" s="152"/>
      <c r="C206" s="155"/>
      <c r="D206" s="155"/>
      <c r="E206" s="155"/>
      <c r="F206" s="155"/>
      <c r="G206" s="155"/>
      <c r="H206" s="155"/>
      <c r="I206" s="155"/>
      <c r="J206" s="155"/>
      <c r="K206" s="155"/>
      <c r="L206" s="155"/>
      <c r="M206" s="155"/>
      <c r="N206" s="155"/>
    </row>
    <row r="207" spans="1:14">
      <c r="A207" s="151"/>
      <c r="B207" s="152"/>
      <c r="C207" s="155"/>
      <c r="D207" s="155"/>
      <c r="E207" s="155"/>
      <c r="F207" s="155"/>
      <c r="G207" s="155"/>
      <c r="H207" s="155"/>
      <c r="I207" s="155"/>
      <c r="J207" s="155"/>
      <c r="K207" s="155"/>
      <c r="L207" s="155"/>
      <c r="M207" s="155"/>
      <c r="N207" s="155"/>
    </row>
    <row r="208" spans="1:14">
      <c r="A208" s="151"/>
      <c r="B208" s="152"/>
      <c r="C208" s="155"/>
      <c r="D208" s="155"/>
      <c r="E208" s="155"/>
      <c r="F208" s="155"/>
      <c r="G208" s="155"/>
      <c r="H208" s="155"/>
      <c r="I208" s="155"/>
      <c r="J208" s="155"/>
      <c r="K208" s="155"/>
      <c r="L208" s="155"/>
      <c r="M208" s="155"/>
      <c r="N208" s="155"/>
    </row>
    <row r="209" spans="1:14">
      <c r="A209" s="151"/>
      <c r="B209" s="152"/>
      <c r="C209" s="155"/>
      <c r="D209" s="155"/>
      <c r="E209" s="155"/>
      <c r="F209" s="155"/>
      <c r="G209" s="155"/>
      <c r="H209" s="155"/>
      <c r="I209" s="155"/>
      <c r="J209" s="155"/>
      <c r="K209" s="155"/>
      <c r="L209" s="155"/>
      <c r="M209" s="155"/>
      <c r="N209" s="155"/>
    </row>
    <row r="210" spans="1:14">
      <c r="A210" s="151"/>
      <c r="B210" s="152"/>
      <c r="C210" s="155"/>
      <c r="D210" s="155"/>
      <c r="E210" s="155"/>
      <c r="F210" s="155"/>
      <c r="G210" s="155"/>
      <c r="H210" s="155"/>
      <c r="I210" s="155"/>
      <c r="J210" s="155"/>
      <c r="K210" s="155"/>
      <c r="L210" s="155"/>
      <c r="M210" s="155"/>
      <c r="N210" s="155"/>
    </row>
    <row r="211" spans="1:14">
      <c r="A211" s="151"/>
      <c r="B211" s="152"/>
      <c r="C211" s="155"/>
      <c r="D211" s="155"/>
      <c r="E211" s="155"/>
      <c r="F211" s="155"/>
      <c r="G211" s="155"/>
      <c r="H211" s="155"/>
      <c r="I211" s="155"/>
      <c r="J211" s="155"/>
      <c r="K211" s="155"/>
      <c r="L211" s="155"/>
      <c r="M211" s="155"/>
      <c r="N211" s="155"/>
    </row>
    <row r="212" spans="1:14">
      <c r="A212" s="151"/>
      <c r="B212" s="152"/>
      <c r="C212" s="155"/>
      <c r="D212" s="155"/>
      <c r="E212" s="155"/>
      <c r="F212" s="155"/>
      <c r="G212" s="155"/>
      <c r="H212" s="155"/>
      <c r="I212" s="155"/>
      <c r="J212" s="155"/>
      <c r="K212" s="155"/>
      <c r="L212" s="155"/>
      <c r="M212" s="155"/>
      <c r="N212" s="155"/>
    </row>
    <row r="213" spans="1:14">
      <c r="A213" s="151"/>
      <c r="B213" s="152"/>
      <c r="C213" s="155"/>
      <c r="D213" s="155"/>
      <c r="E213" s="155"/>
      <c r="F213" s="155"/>
      <c r="G213" s="155"/>
      <c r="H213" s="155"/>
      <c r="I213" s="155"/>
      <c r="J213" s="155"/>
      <c r="K213" s="155"/>
      <c r="L213" s="155"/>
      <c r="M213" s="155"/>
      <c r="N213" s="155"/>
    </row>
    <row r="214" spans="1:14">
      <c r="A214" s="151"/>
      <c r="B214" s="152"/>
      <c r="C214" s="155"/>
      <c r="D214" s="155"/>
      <c r="E214" s="155"/>
      <c r="F214" s="155"/>
      <c r="G214" s="155"/>
      <c r="H214" s="155"/>
      <c r="I214" s="155"/>
      <c r="J214" s="155"/>
      <c r="K214" s="155"/>
      <c r="L214" s="155"/>
      <c r="M214" s="155"/>
      <c r="N214" s="155"/>
    </row>
    <row r="215" spans="1:14">
      <c r="A215" s="151"/>
      <c r="B215" s="152"/>
      <c r="C215" s="155"/>
      <c r="D215" s="155"/>
      <c r="E215" s="155"/>
      <c r="F215" s="155"/>
      <c r="G215" s="155"/>
      <c r="H215" s="155"/>
      <c r="I215" s="155"/>
      <c r="J215" s="155"/>
      <c r="K215" s="155"/>
      <c r="L215" s="155"/>
      <c r="M215" s="155"/>
      <c r="N215" s="155"/>
    </row>
    <row r="216" spans="1:14">
      <c r="A216" s="151"/>
      <c r="B216" s="152"/>
      <c r="C216" s="155"/>
      <c r="D216" s="155"/>
      <c r="E216" s="155"/>
      <c r="F216" s="155"/>
      <c r="G216" s="155"/>
      <c r="H216" s="155"/>
      <c r="I216" s="155"/>
      <c r="J216" s="155"/>
      <c r="K216" s="155"/>
      <c r="L216" s="155"/>
      <c r="M216" s="155"/>
      <c r="N216" s="155"/>
    </row>
    <row r="217" spans="1:14">
      <c r="A217" s="151"/>
      <c r="B217" s="152"/>
      <c r="C217" s="155"/>
      <c r="D217" s="155"/>
      <c r="E217" s="155"/>
      <c r="F217" s="155"/>
      <c r="G217" s="155"/>
      <c r="H217" s="155"/>
      <c r="I217" s="155"/>
      <c r="J217" s="155"/>
      <c r="K217" s="155"/>
      <c r="L217" s="155"/>
      <c r="M217" s="155"/>
      <c r="N217" s="155"/>
    </row>
    <row r="218" spans="1:14">
      <c r="A218" s="151"/>
      <c r="B218" s="152"/>
      <c r="C218" s="155"/>
      <c r="D218" s="155"/>
      <c r="E218" s="155"/>
      <c r="F218" s="155"/>
      <c r="G218" s="155"/>
      <c r="H218" s="155"/>
      <c r="I218" s="155"/>
      <c r="J218" s="155"/>
      <c r="K218" s="155"/>
      <c r="L218" s="155"/>
      <c r="M218" s="155"/>
      <c r="N218" s="155"/>
    </row>
    <row r="219" spans="1:14">
      <c r="A219" s="151"/>
      <c r="B219" s="152"/>
      <c r="C219" s="155"/>
      <c r="D219" s="155"/>
      <c r="E219" s="155"/>
      <c r="F219" s="155"/>
      <c r="G219" s="155"/>
      <c r="H219" s="155"/>
      <c r="I219" s="155"/>
      <c r="J219" s="155"/>
      <c r="K219" s="155"/>
      <c r="L219" s="155"/>
      <c r="M219" s="155"/>
      <c r="N219" s="155"/>
    </row>
    <row r="220" spans="1:14">
      <c r="A220" s="151"/>
      <c r="B220" s="152"/>
      <c r="C220" s="155"/>
      <c r="D220" s="155"/>
      <c r="E220" s="155"/>
      <c r="F220" s="155"/>
      <c r="G220" s="155"/>
      <c r="H220" s="155"/>
      <c r="I220" s="155"/>
      <c r="J220" s="155"/>
      <c r="K220" s="155"/>
      <c r="L220" s="155"/>
      <c r="M220" s="155"/>
      <c r="N220" s="155"/>
    </row>
    <row r="221" spans="1:14">
      <c r="A221" s="151"/>
      <c r="B221" s="152"/>
      <c r="C221" s="155"/>
      <c r="D221" s="155"/>
      <c r="E221" s="155"/>
      <c r="F221" s="155"/>
      <c r="G221" s="155"/>
      <c r="H221" s="155"/>
      <c r="I221" s="155"/>
      <c r="J221" s="155"/>
      <c r="K221" s="155"/>
      <c r="L221" s="155"/>
      <c r="M221" s="155"/>
      <c r="N221" s="155"/>
    </row>
    <row r="222" spans="1:14">
      <c r="A222" s="151"/>
      <c r="B222" s="152"/>
      <c r="C222" s="155"/>
      <c r="D222" s="155"/>
      <c r="E222" s="155"/>
      <c r="F222" s="155"/>
      <c r="G222" s="155"/>
      <c r="H222" s="155"/>
      <c r="I222" s="155"/>
      <c r="J222" s="155"/>
      <c r="K222" s="155"/>
      <c r="L222" s="155"/>
      <c r="M222" s="155"/>
      <c r="N222" s="155"/>
    </row>
    <row r="223" spans="1:14">
      <c r="A223" s="151"/>
      <c r="B223" s="152"/>
      <c r="C223" s="155"/>
      <c r="D223" s="155"/>
      <c r="E223" s="155"/>
      <c r="F223" s="155"/>
      <c r="G223" s="155"/>
      <c r="H223" s="155"/>
      <c r="I223" s="155"/>
      <c r="J223" s="155"/>
      <c r="K223" s="155"/>
      <c r="L223" s="155"/>
      <c r="M223" s="155"/>
      <c r="N223" s="155"/>
    </row>
    <row r="224" spans="1:14">
      <c r="A224" s="151"/>
      <c r="B224" s="152"/>
      <c r="C224" s="155"/>
      <c r="D224" s="155"/>
      <c r="E224" s="155"/>
      <c r="F224" s="155"/>
      <c r="G224" s="155"/>
      <c r="H224" s="155"/>
      <c r="I224" s="155"/>
      <c r="J224" s="155"/>
      <c r="K224" s="155"/>
      <c r="L224" s="155"/>
      <c r="M224" s="155"/>
      <c r="N224" s="155"/>
    </row>
    <row r="225" spans="1:14">
      <c r="A225" s="151"/>
      <c r="B225" s="152"/>
      <c r="C225" s="155"/>
      <c r="D225" s="155"/>
      <c r="E225" s="155"/>
      <c r="F225" s="155"/>
      <c r="G225" s="155"/>
      <c r="H225" s="155"/>
      <c r="I225" s="155"/>
      <c r="J225" s="155"/>
      <c r="K225" s="155"/>
      <c r="L225" s="155"/>
      <c r="M225" s="155"/>
      <c r="N225" s="155"/>
    </row>
    <row r="226" spans="1:14">
      <c r="A226" s="151"/>
      <c r="B226" s="152"/>
      <c r="C226" s="155"/>
      <c r="D226" s="155"/>
      <c r="E226" s="155"/>
      <c r="F226" s="155"/>
      <c r="G226" s="155"/>
      <c r="H226" s="155"/>
      <c r="I226" s="155"/>
      <c r="J226" s="155"/>
      <c r="K226" s="155"/>
      <c r="L226" s="155"/>
      <c r="M226" s="155"/>
      <c r="N226" s="155"/>
    </row>
    <row r="227" spans="1:14">
      <c r="A227" s="151"/>
      <c r="B227" s="152"/>
      <c r="C227" s="155"/>
      <c r="D227" s="155"/>
      <c r="E227" s="155"/>
      <c r="F227" s="155"/>
      <c r="G227" s="155"/>
      <c r="H227" s="155"/>
      <c r="I227" s="155"/>
      <c r="J227" s="155"/>
      <c r="K227" s="155"/>
      <c r="L227" s="155"/>
      <c r="M227" s="155"/>
      <c r="N227" s="155"/>
    </row>
    <row r="228" spans="1:14">
      <c r="A228" s="151"/>
      <c r="B228" s="152"/>
      <c r="C228" s="155"/>
      <c r="D228" s="155"/>
      <c r="E228" s="155"/>
      <c r="F228" s="155"/>
      <c r="G228" s="155"/>
      <c r="H228" s="155"/>
      <c r="I228" s="155"/>
      <c r="J228" s="155"/>
      <c r="K228" s="155"/>
      <c r="L228" s="155"/>
      <c r="M228" s="155"/>
      <c r="N228" s="155"/>
    </row>
    <row r="229" spans="1:14">
      <c r="A229" s="151"/>
      <c r="B229" s="152"/>
      <c r="C229" s="155"/>
      <c r="D229" s="155"/>
      <c r="E229" s="155"/>
      <c r="F229" s="155"/>
      <c r="G229" s="155"/>
      <c r="H229" s="155"/>
      <c r="I229" s="155"/>
      <c r="J229" s="155"/>
      <c r="K229" s="155"/>
      <c r="L229" s="155"/>
      <c r="M229" s="155"/>
      <c r="N229" s="155"/>
    </row>
    <row r="230" spans="1:14">
      <c r="A230" s="151"/>
      <c r="B230" s="152"/>
      <c r="C230" s="155"/>
      <c r="D230" s="155"/>
      <c r="E230" s="155"/>
      <c r="F230" s="155"/>
      <c r="G230" s="155"/>
      <c r="H230" s="155"/>
      <c r="I230" s="155"/>
      <c r="J230" s="155"/>
      <c r="K230" s="155"/>
      <c r="L230" s="155"/>
      <c r="M230" s="155"/>
      <c r="N230" s="155"/>
    </row>
    <row r="231" spans="1:14">
      <c r="A231" s="151"/>
      <c r="B231" s="152"/>
      <c r="C231" s="155"/>
      <c r="D231" s="155"/>
      <c r="E231" s="155"/>
      <c r="F231" s="155"/>
      <c r="G231" s="155"/>
      <c r="H231" s="155"/>
      <c r="I231" s="155"/>
      <c r="J231" s="155"/>
      <c r="K231" s="155"/>
      <c r="L231" s="155"/>
      <c r="M231" s="155"/>
      <c r="N231" s="155"/>
    </row>
    <row r="232" spans="1:14">
      <c r="A232" s="151"/>
      <c r="B232" s="152"/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</row>
    <row r="233" spans="1:14">
      <c r="A233" s="151"/>
      <c r="B233" s="152"/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</row>
    <row r="234" spans="1:14">
      <c r="A234" s="151"/>
      <c r="B234" s="152"/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</row>
    <row r="235" spans="1:14">
      <c r="A235" s="151"/>
      <c r="B235" s="152"/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</row>
    <row r="236" spans="1:14">
      <c r="A236" s="151"/>
      <c r="B236" s="152"/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</row>
    <row r="237" spans="1:14">
      <c r="A237" s="151"/>
      <c r="B237" s="152"/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</row>
    <row r="238" spans="1:14">
      <c r="A238" s="151"/>
      <c r="B238" s="152"/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</row>
    <row r="239" spans="1:14">
      <c r="A239" s="151"/>
      <c r="B239" s="152"/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</row>
    <row r="240" spans="1:14">
      <c r="A240" s="151"/>
      <c r="B240" s="152"/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</row>
    <row r="241" spans="1:14">
      <c r="A241" s="151"/>
      <c r="B241" s="152"/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</row>
    <row r="242" spans="1:14">
      <c r="A242" s="151"/>
      <c r="B242" s="152"/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</row>
    <row r="243" spans="1:14">
      <c r="A243" s="151"/>
      <c r="B243" s="152"/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</row>
    <row r="244" spans="1:14">
      <c r="A244" s="151"/>
      <c r="B244" s="152"/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</row>
    <row r="245" spans="1:14">
      <c r="A245" s="151"/>
      <c r="B245" s="152"/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</row>
    <row r="246" spans="1:14">
      <c r="A246" s="151"/>
      <c r="B246" s="152"/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</row>
    <row r="247" spans="1:14">
      <c r="A247" s="151"/>
      <c r="B247" s="152"/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</row>
    <row r="248" spans="1:14">
      <c r="A248" s="151"/>
      <c r="B248" s="152"/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</row>
    <row r="249" spans="1:14">
      <c r="A249" s="151"/>
      <c r="B249" s="152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</row>
    <row r="250" spans="1:14">
      <c r="A250" s="151"/>
      <c r="B250" s="152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</row>
    <row r="251" spans="1:14">
      <c r="A251" s="151"/>
      <c r="B251" s="152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</row>
    <row r="252" spans="1:14">
      <c r="A252" s="151"/>
      <c r="B252" s="152"/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</row>
    <row r="253" spans="1:14">
      <c r="A253" s="151"/>
      <c r="B253" s="152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</row>
    <row r="254" spans="1:14">
      <c r="A254" s="151"/>
      <c r="B254" s="152"/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</row>
    <row r="255" spans="1:14">
      <c r="A255" s="151"/>
      <c r="B255" s="152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</row>
    <row r="256" spans="1:14">
      <c r="A256" s="151"/>
      <c r="B256" s="152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</row>
    <row r="257" spans="1:14">
      <c r="A257" s="151"/>
      <c r="B257" s="152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</row>
    <row r="258" spans="1:14">
      <c r="A258" s="151"/>
      <c r="B258" s="152"/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</row>
    <row r="259" spans="1:14">
      <c r="A259" s="151"/>
      <c r="B259" s="152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</row>
    <row r="260" spans="1:14">
      <c r="A260" s="151"/>
      <c r="B260" s="152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</row>
    <row r="261" spans="1:14">
      <c r="A261" s="151"/>
      <c r="B261" s="152"/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</row>
    <row r="262" spans="1:14">
      <c r="A262" s="151"/>
      <c r="B262" s="152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</row>
    <row r="263" spans="1:14">
      <c r="A263" s="151"/>
      <c r="B263" s="152"/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</row>
    <row r="264" spans="1:14">
      <c r="A264" s="151"/>
      <c r="B264" s="152"/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</row>
    <row r="265" spans="1:14">
      <c r="A265" s="151"/>
      <c r="B265" s="152"/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</row>
    <row r="266" spans="1:14">
      <c r="A266" s="151"/>
      <c r="B266" s="152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</row>
    <row r="267" spans="1:14">
      <c r="A267" s="151"/>
      <c r="B267" s="152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</row>
    <row r="268" spans="1:14">
      <c r="A268" s="151"/>
      <c r="B268" s="152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</row>
    <row r="269" spans="1:14">
      <c r="A269" s="151"/>
      <c r="B269" s="152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</row>
    <row r="270" spans="1:14">
      <c r="A270" s="151"/>
      <c r="B270" s="152"/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</row>
    <row r="271" spans="1:14">
      <c r="A271" s="151"/>
      <c r="B271" s="152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</row>
    <row r="272" spans="1:14">
      <c r="A272" s="151"/>
      <c r="B272" s="152"/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</row>
    <row r="273" spans="1:14">
      <c r="A273" s="151"/>
      <c r="B273" s="152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</row>
    <row r="274" spans="1:14">
      <c r="A274" s="151"/>
      <c r="B274" s="152"/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</row>
    <row r="275" spans="1:14">
      <c r="A275" s="151"/>
      <c r="B275" s="152"/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</row>
    <row r="276" spans="1:14">
      <c r="A276" s="151"/>
      <c r="B276" s="152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</row>
    <row r="277" spans="1:14">
      <c r="A277" s="151"/>
      <c r="B277" s="152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</row>
    <row r="278" spans="1:14">
      <c r="A278" s="151"/>
      <c r="B278" s="152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</row>
    <row r="279" spans="1:14">
      <c r="A279" s="151"/>
      <c r="B279" s="152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</row>
    <row r="280" spans="1:14">
      <c r="A280" s="151"/>
      <c r="B280" s="152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</row>
    <row r="281" spans="1:14">
      <c r="A281" s="151"/>
      <c r="B281" s="152"/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</row>
    <row r="282" spans="1:14">
      <c r="A282" s="151"/>
      <c r="B282" s="152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</row>
    <row r="283" spans="1:14">
      <c r="A283" s="151"/>
      <c r="B283" s="152"/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</row>
    <row r="284" spans="1:14">
      <c r="A284" s="151"/>
      <c r="B284" s="152"/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</row>
    <row r="285" spans="1:14">
      <c r="A285" s="151"/>
      <c r="B285" s="152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</row>
    <row r="286" spans="1:14">
      <c r="A286" s="151"/>
      <c r="B286" s="152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</row>
    <row r="287" spans="1:14">
      <c r="A287" s="151"/>
      <c r="B287" s="152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</row>
    <row r="288" spans="1:14">
      <c r="A288" s="151"/>
      <c r="B288" s="152"/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</row>
    <row r="289" spans="1:14">
      <c r="A289" s="151"/>
      <c r="B289" s="152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</row>
    <row r="290" spans="1:14">
      <c r="A290" s="151"/>
      <c r="B290" s="152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</row>
    <row r="291" spans="1:14">
      <c r="A291" s="151"/>
      <c r="B291" s="152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</row>
    <row r="292" spans="1:14">
      <c r="A292" s="151"/>
      <c r="B292" s="152"/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</row>
    <row r="293" spans="1:14">
      <c r="A293" s="151"/>
      <c r="B293" s="152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</row>
    <row r="294" spans="1:14">
      <c r="A294" s="151"/>
      <c r="B294" s="152"/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</row>
    <row r="295" spans="1:14">
      <c r="A295" s="151"/>
      <c r="B295" s="152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</row>
    <row r="296" spans="1:14">
      <c r="A296" s="151"/>
      <c r="B296" s="152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</row>
    <row r="297" spans="1:14">
      <c r="A297" s="151"/>
      <c r="B297" s="152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</row>
    <row r="298" spans="1:14">
      <c r="A298" s="151"/>
      <c r="B298" s="152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</row>
    <row r="299" spans="1:14">
      <c r="A299" s="151"/>
      <c r="B299" s="152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</row>
    <row r="300" spans="1:14">
      <c r="A300" s="151"/>
      <c r="B300" s="152"/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</row>
    <row r="301" spans="1:14">
      <c r="A301" s="151"/>
      <c r="B301" s="152"/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</row>
    <row r="302" spans="1:14">
      <c r="A302" s="151"/>
      <c r="B302" s="152"/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</row>
    <row r="303" spans="1:14">
      <c r="A303" s="151"/>
      <c r="B303" s="152"/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</row>
    <row r="304" spans="1:14">
      <c r="A304" s="151"/>
      <c r="B304" s="152"/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</row>
    <row r="305" spans="1:14">
      <c r="A305" s="151"/>
      <c r="B305" s="152"/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</row>
    <row r="306" spans="1:14">
      <c r="A306" s="151"/>
      <c r="B306" s="152"/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</row>
    <row r="307" spans="1:14">
      <c r="A307" s="151"/>
      <c r="B307" s="152"/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</row>
    <row r="308" spans="1:14">
      <c r="A308" s="151"/>
      <c r="B308" s="152"/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</row>
    <row r="309" spans="1:14">
      <c r="A309" s="151"/>
      <c r="B309" s="152"/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</row>
    <row r="310" spans="1:14">
      <c r="A310" s="151"/>
      <c r="B310" s="152"/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</row>
    <row r="311" spans="1:14">
      <c r="A311" s="151"/>
      <c r="B311" s="152"/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</row>
    <row r="312" spans="1:14">
      <c r="A312" s="151"/>
      <c r="B312" s="152"/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</row>
    <row r="313" spans="1:14">
      <c r="A313" s="151"/>
      <c r="B313" s="152"/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</row>
    <row r="314" spans="1:14">
      <c r="A314" s="151"/>
      <c r="B314" s="152"/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</row>
    <row r="315" spans="1:14">
      <c r="A315" s="151"/>
      <c r="B315" s="152"/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</row>
    <row r="316" spans="1:14">
      <c r="A316" s="151"/>
      <c r="B316" s="152"/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</row>
    <row r="317" spans="1:14">
      <c r="A317" s="151"/>
      <c r="B317" s="152"/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</row>
    <row r="318" spans="1:14">
      <c r="A318" s="151"/>
      <c r="B318" s="152"/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</row>
    <row r="319" spans="1:14">
      <c r="A319" s="151"/>
      <c r="B319" s="152"/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</row>
    <row r="320" spans="1:14">
      <c r="A320" s="151"/>
      <c r="B320" s="152"/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</row>
    <row r="321" spans="1:14">
      <c r="A321" s="151"/>
      <c r="B321" s="152"/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</row>
    <row r="322" spans="1:14">
      <c r="A322" s="151"/>
      <c r="B322" s="152"/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</row>
    <row r="323" spans="1:14">
      <c r="A323" s="151"/>
      <c r="B323" s="152"/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</row>
    <row r="324" spans="1:14">
      <c r="A324" s="151"/>
      <c r="B324" s="152"/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</row>
    <row r="325" spans="1:14">
      <c r="A325" s="151"/>
      <c r="B325" s="152"/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</row>
    <row r="326" spans="1:14">
      <c r="A326" s="151"/>
      <c r="B326" s="152"/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</row>
    <row r="327" spans="1:14">
      <c r="A327" s="151"/>
      <c r="B327" s="152"/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</row>
    <row r="328" spans="1:14">
      <c r="A328" s="151"/>
      <c r="B328" s="152"/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</row>
    <row r="329" spans="1:14">
      <c r="A329" s="151"/>
      <c r="B329" s="152"/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</row>
    <row r="330" spans="1:14">
      <c r="A330" s="151"/>
      <c r="B330" s="152"/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</row>
    <row r="331" spans="1:14">
      <c r="A331" s="151"/>
      <c r="B331" s="152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</row>
    <row r="332" spans="1:14">
      <c r="A332" s="151"/>
      <c r="B332" s="152"/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</row>
  </sheetData>
  <mergeCells count="2">
    <mergeCell ref="A1:N1"/>
    <mergeCell ref="D2:E2"/>
  </mergeCells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O332"/>
  <sheetViews>
    <sheetView topLeftCell="A118" workbookViewId="0">
      <selection activeCell="I146" sqref="I146"/>
    </sheetView>
  </sheetViews>
  <sheetFormatPr defaultColWidth="11.42578125" defaultRowHeight="12.75"/>
  <cols>
    <col min="1" max="1" width="8.85546875" style="173" bestFit="1" customWidth="1"/>
    <col min="2" max="2" width="39.42578125" style="174" customWidth="1"/>
    <col min="3" max="3" width="15.42578125" style="175" bestFit="1" customWidth="1"/>
    <col min="4" max="4" width="11.7109375" style="175" bestFit="1" customWidth="1"/>
    <col min="5" max="5" width="12.28515625" style="175" bestFit="1" customWidth="1"/>
    <col min="6" max="6" width="12.7109375" style="175" bestFit="1" customWidth="1"/>
    <col min="7" max="7" width="15.42578125" style="175" bestFit="1" customWidth="1"/>
    <col min="8" max="9" width="10.7109375" style="175" bestFit="1" customWidth="1"/>
    <col min="10" max="10" width="15.7109375" style="175" bestFit="1" customWidth="1"/>
    <col min="11" max="11" width="15.28515625" style="175" bestFit="1" customWidth="1"/>
    <col min="12" max="12" width="13.85546875" style="175" bestFit="1" customWidth="1"/>
    <col min="13" max="13" width="15.42578125" style="175" bestFit="1" customWidth="1"/>
    <col min="14" max="14" width="14.5703125" style="175" bestFit="1" customWidth="1"/>
    <col min="15" max="15" width="11.7109375" style="100" bestFit="1" customWidth="1"/>
    <col min="16" max="16384" width="11.42578125" style="100"/>
  </cols>
  <sheetData>
    <row r="1" spans="1:14" ht="16.5" thickBot="1">
      <c r="A1" s="382" t="s">
        <v>254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1:14" s="106" customFormat="1" ht="57" thickBot="1">
      <c r="A2" s="101" t="s">
        <v>15</v>
      </c>
      <c r="B2" s="102" t="s">
        <v>16</v>
      </c>
      <c r="C2" s="196" t="s">
        <v>267</v>
      </c>
      <c r="D2" s="387" t="s">
        <v>9</v>
      </c>
      <c r="E2" s="388"/>
      <c r="F2" s="197" t="s">
        <v>10</v>
      </c>
      <c r="G2" s="197" t="s">
        <v>11</v>
      </c>
      <c r="H2" s="197" t="s">
        <v>12</v>
      </c>
      <c r="I2" s="198" t="s">
        <v>17</v>
      </c>
      <c r="J2" s="197" t="s">
        <v>165</v>
      </c>
      <c r="K2" s="198" t="s">
        <v>13</v>
      </c>
      <c r="L2" s="197" t="s">
        <v>166</v>
      </c>
      <c r="M2" s="198" t="s">
        <v>167</v>
      </c>
      <c r="N2" s="197" t="s">
        <v>168</v>
      </c>
    </row>
    <row r="3" spans="1:14" ht="13.5" thickBot="1">
      <c r="A3" s="107"/>
      <c r="B3" s="108"/>
      <c r="C3" s="109"/>
      <c r="D3" s="110">
        <v>90</v>
      </c>
      <c r="E3" s="111">
        <v>30</v>
      </c>
      <c r="F3" s="112">
        <v>20</v>
      </c>
      <c r="G3" s="112">
        <v>10</v>
      </c>
      <c r="H3" s="112">
        <v>40</v>
      </c>
      <c r="I3" s="113">
        <v>50</v>
      </c>
      <c r="J3" s="112">
        <v>60</v>
      </c>
      <c r="K3" s="113">
        <v>70</v>
      </c>
      <c r="L3" s="112">
        <v>80</v>
      </c>
      <c r="M3" s="113">
        <v>81</v>
      </c>
      <c r="N3" s="112">
        <v>82</v>
      </c>
    </row>
    <row r="4" spans="1:14" ht="13.5" thickBot="1">
      <c r="A4" s="107"/>
      <c r="B4" s="108"/>
      <c r="C4" s="109"/>
      <c r="D4" s="110" t="s">
        <v>169</v>
      </c>
      <c r="E4" s="111" t="s">
        <v>170</v>
      </c>
      <c r="F4" s="112">
        <v>3211</v>
      </c>
      <c r="G4" s="112" t="s">
        <v>171</v>
      </c>
      <c r="H4" s="112">
        <v>5211</v>
      </c>
      <c r="I4" s="113">
        <v>6211</v>
      </c>
      <c r="J4" s="112">
        <v>7311</v>
      </c>
      <c r="K4" s="113">
        <v>8311</v>
      </c>
      <c r="L4" s="112">
        <v>383</v>
      </c>
      <c r="M4" s="113">
        <v>483</v>
      </c>
      <c r="N4" s="112">
        <v>582</v>
      </c>
    </row>
    <row r="5" spans="1:14" s="106" customFormat="1" ht="15">
      <c r="A5" s="114"/>
      <c r="B5" s="115" t="s">
        <v>172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ht="33" customHeight="1">
      <c r="A6" s="117"/>
      <c r="B6" s="118" t="s">
        <v>173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s="106" customFormat="1" ht="25.5">
      <c r="A7" s="200" t="s">
        <v>255</v>
      </c>
      <c r="B7" s="120" t="s">
        <v>174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4" s="125" customFormat="1" ht="25.5">
      <c r="A8" s="199">
        <v>420602</v>
      </c>
      <c r="B8" s="123" t="s">
        <v>175</v>
      </c>
      <c r="C8" s="124">
        <f>SUM(C9:C44)</f>
        <v>52197000</v>
      </c>
      <c r="D8" s="124">
        <f>SUM(D9:D44)</f>
        <v>0</v>
      </c>
      <c r="E8" s="124">
        <f t="shared" ref="E8:N8" si="0">SUM(E9:E44)</f>
        <v>0</v>
      </c>
      <c r="F8" s="124">
        <f t="shared" si="0"/>
        <v>0</v>
      </c>
      <c r="G8" s="124">
        <f t="shared" si="0"/>
        <v>51397000</v>
      </c>
      <c r="H8" s="124">
        <f t="shared" si="0"/>
        <v>100000</v>
      </c>
      <c r="I8" s="124">
        <f t="shared" si="0"/>
        <v>300000</v>
      </c>
      <c r="J8" s="124">
        <f t="shared" si="0"/>
        <v>400000</v>
      </c>
      <c r="K8" s="124">
        <f t="shared" si="0"/>
        <v>0</v>
      </c>
      <c r="L8" s="124">
        <f t="shared" si="0"/>
        <v>0</v>
      </c>
      <c r="M8" s="124">
        <f t="shared" si="0"/>
        <v>0</v>
      </c>
      <c r="N8" s="124">
        <f t="shared" si="0"/>
        <v>0</v>
      </c>
    </row>
    <row r="9" spans="1:14">
      <c r="A9" s="126">
        <v>3111</v>
      </c>
      <c r="B9" s="127" t="s">
        <v>176</v>
      </c>
      <c r="C9" s="119">
        <f>SUM(D9:N9)</f>
        <v>23224750</v>
      </c>
      <c r="D9" s="119"/>
      <c r="E9" s="119"/>
      <c r="F9" s="119"/>
      <c r="G9" s="128">
        <f>24674750-100000-G46</f>
        <v>23124750</v>
      </c>
      <c r="H9" s="129">
        <v>100000</v>
      </c>
      <c r="I9" s="119"/>
      <c r="J9" s="119"/>
      <c r="K9" s="119"/>
      <c r="L9" s="130"/>
      <c r="M9" s="130"/>
      <c r="N9" s="130"/>
    </row>
    <row r="10" spans="1:14">
      <c r="A10" s="126">
        <v>3112</v>
      </c>
      <c r="B10" s="127" t="s">
        <v>177</v>
      </c>
      <c r="C10" s="119">
        <f t="shared" ref="C10:C44" si="1">SUM(D10:N10)</f>
        <v>0</v>
      </c>
      <c r="D10" s="119"/>
      <c r="E10" s="119"/>
      <c r="F10" s="119"/>
      <c r="G10" s="128">
        <v>0</v>
      </c>
      <c r="H10" s="119"/>
      <c r="I10" s="119"/>
      <c r="J10" s="119"/>
      <c r="K10" s="119"/>
      <c r="L10" s="130"/>
      <c r="M10" s="130"/>
      <c r="N10" s="130"/>
    </row>
    <row r="11" spans="1:14">
      <c r="A11" s="126">
        <v>3113</v>
      </c>
      <c r="B11" s="127" t="s">
        <v>178</v>
      </c>
      <c r="C11" s="119">
        <f t="shared" si="1"/>
        <v>835000</v>
      </c>
      <c r="D11" s="119"/>
      <c r="E11" s="119"/>
      <c r="F11" s="119"/>
      <c r="G11" s="128">
        <v>835000</v>
      </c>
      <c r="H11" s="119"/>
      <c r="I11" s="119"/>
      <c r="J11" s="119"/>
      <c r="K11" s="119"/>
      <c r="L11" s="130"/>
      <c r="M11" s="130"/>
      <c r="N11" s="130"/>
    </row>
    <row r="12" spans="1:14">
      <c r="A12" s="126">
        <v>3114</v>
      </c>
      <c r="B12" s="127" t="s">
        <v>179</v>
      </c>
      <c r="C12" s="119">
        <f t="shared" si="1"/>
        <v>3035000</v>
      </c>
      <c r="D12" s="119"/>
      <c r="E12" s="119"/>
      <c r="F12" s="119"/>
      <c r="G12" s="128">
        <f>3170000-G47</f>
        <v>3035000</v>
      </c>
      <c r="H12" s="119"/>
      <c r="I12" s="119"/>
      <c r="J12" s="119"/>
      <c r="K12" s="119"/>
      <c r="L12" s="131"/>
      <c r="M12" s="131"/>
      <c r="N12" s="131"/>
    </row>
    <row r="13" spans="1:14">
      <c r="A13" s="126">
        <v>3121</v>
      </c>
      <c r="B13" s="127" t="s">
        <v>20</v>
      </c>
      <c r="C13" s="119">
        <f t="shared" si="1"/>
        <v>1288000</v>
      </c>
      <c r="D13" s="119"/>
      <c r="E13" s="119"/>
      <c r="F13" s="119"/>
      <c r="G13" s="128">
        <f>1330000-G48</f>
        <v>1288000</v>
      </c>
      <c r="H13" s="119"/>
      <c r="I13" s="119"/>
      <c r="J13" s="119"/>
      <c r="K13" s="119"/>
      <c r="L13" s="130"/>
      <c r="M13" s="130"/>
      <c r="N13" s="130"/>
    </row>
    <row r="14" spans="1:14">
      <c r="A14" s="126">
        <v>3131</v>
      </c>
      <c r="B14" s="127" t="s">
        <v>180</v>
      </c>
      <c r="C14" s="119">
        <f t="shared" si="1"/>
        <v>0</v>
      </c>
      <c r="D14" s="119"/>
      <c r="E14" s="119"/>
      <c r="F14" s="119"/>
      <c r="G14" s="128">
        <v>0</v>
      </c>
      <c r="H14" s="119"/>
      <c r="I14" s="119"/>
      <c r="J14" s="119"/>
      <c r="K14" s="119"/>
      <c r="L14" s="130"/>
      <c r="M14" s="130"/>
      <c r="N14" s="130"/>
    </row>
    <row r="15" spans="1:14">
      <c r="A15" s="126">
        <v>3132</v>
      </c>
      <c r="B15" s="127" t="s">
        <v>181</v>
      </c>
      <c r="C15" s="119">
        <f t="shared" si="1"/>
        <v>4464000</v>
      </c>
      <c r="D15" s="119"/>
      <c r="E15" s="119"/>
      <c r="F15" s="119"/>
      <c r="G15" s="128">
        <f>4730000-G50</f>
        <v>4464000</v>
      </c>
      <c r="H15" s="119"/>
      <c r="I15" s="119"/>
      <c r="J15" s="119"/>
      <c r="K15" s="119"/>
      <c r="L15" s="130"/>
      <c r="M15" s="130"/>
      <c r="N15" s="130"/>
    </row>
    <row r="16" spans="1:14" ht="25.5">
      <c r="A16" s="126">
        <v>3133</v>
      </c>
      <c r="B16" s="127" t="s">
        <v>182</v>
      </c>
      <c r="C16" s="119">
        <f t="shared" si="1"/>
        <v>0</v>
      </c>
      <c r="D16" s="119"/>
      <c r="E16" s="119"/>
      <c r="F16" s="119"/>
      <c r="G16" s="128"/>
      <c r="H16" s="119"/>
      <c r="I16" s="128"/>
      <c r="J16" s="119"/>
      <c r="K16" s="119"/>
      <c r="L16" s="130"/>
      <c r="M16" s="130"/>
      <c r="N16" s="130"/>
    </row>
    <row r="17" spans="1:14">
      <c r="A17" s="126">
        <v>3211</v>
      </c>
      <c r="B17" s="127" t="s">
        <v>183</v>
      </c>
      <c r="C17" s="119">
        <f t="shared" si="1"/>
        <v>58000</v>
      </c>
      <c r="D17" s="119"/>
      <c r="E17" s="119"/>
      <c r="F17" s="119"/>
      <c r="G17" s="132">
        <f>58000-10000</f>
        <v>48000</v>
      </c>
      <c r="H17" s="119"/>
      <c r="I17" s="128">
        <v>10000</v>
      </c>
      <c r="J17" s="119"/>
      <c r="K17" s="119"/>
      <c r="L17" s="130"/>
      <c r="M17" s="130"/>
      <c r="N17" s="130"/>
    </row>
    <row r="18" spans="1:14" ht="25.5">
      <c r="A18" s="126">
        <v>3212</v>
      </c>
      <c r="B18" s="127" t="s">
        <v>184</v>
      </c>
      <c r="C18" s="119">
        <f t="shared" si="1"/>
        <v>736000</v>
      </c>
      <c r="D18" s="119"/>
      <c r="E18" s="119"/>
      <c r="F18" s="119"/>
      <c r="G18" s="128">
        <f>816000-G52</f>
        <v>736000</v>
      </c>
      <c r="H18" s="119"/>
      <c r="I18" s="128"/>
      <c r="J18" s="119"/>
      <c r="K18" s="119"/>
      <c r="L18" s="130"/>
      <c r="M18" s="130"/>
      <c r="N18" s="130"/>
    </row>
    <row r="19" spans="1:14">
      <c r="A19" s="126">
        <v>3213</v>
      </c>
      <c r="B19" s="127" t="s">
        <v>185</v>
      </c>
      <c r="C19" s="119">
        <f t="shared" si="1"/>
        <v>114000</v>
      </c>
      <c r="D19" s="119"/>
      <c r="E19" s="119"/>
      <c r="F19" s="119"/>
      <c r="G19" s="132">
        <f>114000-10000</f>
        <v>104000</v>
      </c>
      <c r="H19" s="119"/>
      <c r="I19" s="128">
        <v>10000</v>
      </c>
      <c r="J19" s="119"/>
      <c r="K19" s="119"/>
      <c r="L19" s="130"/>
      <c r="M19" s="130"/>
      <c r="N19" s="130"/>
    </row>
    <row r="20" spans="1:14">
      <c r="A20" s="126">
        <v>3214</v>
      </c>
      <c r="B20" s="127" t="s">
        <v>186</v>
      </c>
      <c r="C20" s="119">
        <f t="shared" si="1"/>
        <v>5000</v>
      </c>
      <c r="D20" s="119"/>
      <c r="E20" s="119"/>
      <c r="F20" s="119"/>
      <c r="G20" s="128">
        <f>5000</f>
        <v>5000</v>
      </c>
      <c r="H20" s="119"/>
      <c r="I20" s="128"/>
      <c r="J20" s="119"/>
      <c r="K20" s="119"/>
      <c r="L20" s="130"/>
      <c r="M20" s="130"/>
      <c r="N20" s="130"/>
    </row>
    <row r="21" spans="1:14">
      <c r="A21" s="126">
        <v>3221</v>
      </c>
      <c r="B21" s="127" t="s">
        <v>187</v>
      </c>
      <c r="C21" s="119">
        <f t="shared" si="1"/>
        <v>590000</v>
      </c>
      <c r="D21" s="119"/>
      <c r="E21" s="119"/>
      <c r="F21" s="119"/>
      <c r="G21" s="128">
        <v>590000</v>
      </c>
      <c r="H21" s="119"/>
      <c r="I21" s="128"/>
      <c r="J21" s="119"/>
      <c r="K21" s="119"/>
      <c r="L21" s="130"/>
      <c r="M21" s="130"/>
      <c r="N21" s="130"/>
    </row>
    <row r="22" spans="1:14">
      <c r="A22" s="126">
        <v>3222</v>
      </c>
      <c r="B22" s="127" t="s">
        <v>188</v>
      </c>
      <c r="C22" s="119">
        <f t="shared" si="1"/>
        <v>10820000</v>
      </c>
      <c r="D22" s="119"/>
      <c r="E22" s="119"/>
      <c r="F22" s="119"/>
      <c r="G22" s="132">
        <f>11820000-280000-300000-1000000</f>
        <v>10240000</v>
      </c>
      <c r="H22" s="119"/>
      <c r="I22" s="128">
        <f>130000+150000</f>
        <v>280000</v>
      </c>
      <c r="J22" s="119">
        <v>300000</v>
      </c>
      <c r="K22" s="119"/>
      <c r="L22" s="130"/>
      <c r="M22" s="130"/>
      <c r="N22" s="130"/>
    </row>
    <row r="23" spans="1:14">
      <c r="A23" s="126">
        <v>3223</v>
      </c>
      <c r="B23" s="127" t="s">
        <v>189</v>
      </c>
      <c r="C23" s="119">
        <f t="shared" si="1"/>
        <v>1620000</v>
      </c>
      <c r="D23" s="119"/>
      <c r="E23" s="119"/>
      <c r="F23" s="119"/>
      <c r="G23" s="128">
        <v>1620000</v>
      </c>
      <c r="H23" s="119"/>
      <c r="I23" s="128"/>
      <c r="J23" s="119"/>
      <c r="K23" s="119"/>
      <c r="L23" s="130"/>
      <c r="M23" s="130"/>
      <c r="N23" s="130"/>
    </row>
    <row r="24" spans="1:14" ht="25.5">
      <c r="A24" s="126">
        <v>3224</v>
      </c>
      <c r="B24" s="127" t="s">
        <v>190</v>
      </c>
      <c r="C24" s="119">
        <f t="shared" si="1"/>
        <v>240000</v>
      </c>
      <c r="D24" s="119"/>
      <c r="E24" s="119"/>
      <c r="F24" s="119"/>
      <c r="G24" s="128">
        <v>240000</v>
      </c>
      <c r="H24" s="119"/>
      <c r="I24" s="119"/>
      <c r="J24" s="119"/>
      <c r="K24" s="119"/>
      <c r="L24" s="130"/>
      <c r="M24" s="130"/>
      <c r="N24" s="130"/>
    </row>
    <row r="25" spans="1:14">
      <c r="A25" s="126">
        <v>3225</v>
      </c>
      <c r="B25" s="127" t="s">
        <v>191</v>
      </c>
      <c r="C25" s="119">
        <f t="shared" si="1"/>
        <v>148000</v>
      </c>
      <c r="D25" s="119"/>
      <c r="E25" s="119"/>
      <c r="F25" s="119"/>
      <c r="G25" s="128">
        <f>148000</f>
        <v>148000</v>
      </c>
      <c r="H25" s="119"/>
      <c r="I25" s="119"/>
      <c r="J25" s="119"/>
      <c r="K25" s="119"/>
      <c r="L25" s="130"/>
      <c r="M25" s="130"/>
      <c r="N25" s="130"/>
    </row>
    <row r="26" spans="1:14">
      <c r="A26" s="126">
        <v>3227</v>
      </c>
      <c r="B26" s="127" t="s">
        <v>192</v>
      </c>
      <c r="C26" s="119">
        <f t="shared" si="1"/>
        <v>130000</v>
      </c>
      <c r="D26" s="119"/>
      <c r="E26" s="119"/>
      <c r="F26" s="119"/>
      <c r="G26" s="128">
        <v>130000</v>
      </c>
      <c r="H26" s="119"/>
      <c r="I26" s="119"/>
      <c r="J26" s="119"/>
      <c r="K26" s="119"/>
      <c r="L26" s="130"/>
      <c r="M26" s="130"/>
      <c r="N26" s="130"/>
    </row>
    <row r="27" spans="1:14">
      <c r="A27" s="126">
        <v>3231</v>
      </c>
      <c r="B27" s="127" t="s">
        <v>193</v>
      </c>
      <c r="C27" s="119">
        <f t="shared" si="1"/>
        <v>178000</v>
      </c>
      <c r="D27" s="119"/>
      <c r="E27" s="119"/>
      <c r="F27" s="119"/>
      <c r="G27" s="128">
        <v>178000</v>
      </c>
      <c r="H27" s="119"/>
      <c r="I27" s="119"/>
      <c r="J27" s="128"/>
      <c r="K27" s="119"/>
      <c r="L27" s="130"/>
      <c r="M27" s="130"/>
      <c r="N27" s="130"/>
    </row>
    <row r="28" spans="1:14">
      <c r="A28" s="126">
        <v>3232</v>
      </c>
      <c r="B28" s="127" t="s">
        <v>194</v>
      </c>
      <c r="C28" s="119">
        <f t="shared" si="1"/>
        <v>1872250</v>
      </c>
      <c r="D28" s="119"/>
      <c r="F28" s="119"/>
      <c r="G28" s="132">
        <f>2248000-100000-375750</f>
        <v>1772250</v>
      </c>
      <c r="H28" s="119"/>
      <c r="I28" s="119"/>
      <c r="J28" s="128">
        <v>100000</v>
      </c>
      <c r="K28" s="119"/>
      <c r="L28" s="130"/>
      <c r="M28" s="130"/>
      <c r="N28" s="130"/>
    </row>
    <row r="29" spans="1:14">
      <c r="A29" s="126">
        <v>3233</v>
      </c>
      <c r="B29" s="127" t="s">
        <v>195</v>
      </c>
      <c r="C29" s="119">
        <f t="shared" si="1"/>
        <v>120000</v>
      </c>
      <c r="D29" s="119"/>
      <c r="E29" s="119"/>
      <c r="F29" s="119"/>
      <c r="G29" s="128">
        <v>120000</v>
      </c>
      <c r="H29" s="119"/>
      <c r="I29" s="119"/>
      <c r="J29" s="128"/>
      <c r="K29" s="119"/>
      <c r="L29" s="133"/>
      <c r="M29" s="133"/>
      <c r="N29" s="133"/>
    </row>
    <row r="30" spans="1:14">
      <c r="A30" s="126">
        <v>3234</v>
      </c>
      <c r="B30" s="127" t="s">
        <v>196</v>
      </c>
      <c r="C30" s="119">
        <f t="shared" si="1"/>
        <v>655000</v>
      </c>
      <c r="D30" s="119"/>
      <c r="E30" s="119"/>
      <c r="F30" s="119"/>
      <c r="G30" s="128">
        <v>655000</v>
      </c>
      <c r="H30" s="119"/>
      <c r="I30" s="119"/>
      <c r="J30" s="128"/>
      <c r="K30" s="119"/>
      <c r="L30" s="119"/>
      <c r="M30" s="119"/>
      <c r="N30" s="119"/>
    </row>
    <row r="31" spans="1:14">
      <c r="A31" s="126">
        <v>3235</v>
      </c>
      <c r="B31" s="127" t="s">
        <v>197</v>
      </c>
      <c r="C31" s="119">
        <f t="shared" si="1"/>
        <v>475000</v>
      </c>
      <c r="D31" s="119"/>
      <c r="E31" s="119"/>
      <c r="F31" s="119"/>
      <c r="G31" s="128">
        <f>475000-M31</f>
        <v>475000</v>
      </c>
      <c r="H31" s="119"/>
      <c r="I31" s="119"/>
      <c r="J31" s="128"/>
      <c r="K31" s="119"/>
      <c r="L31" s="129"/>
      <c r="M31" s="129"/>
      <c r="N31" s="129"/>
    </row>
    <row r="32" spans="1:14">
      <c r="A32" s="126">
        <v>3236</v>
      </c>
      <c r="B32" s="127" t="s">
        <v>198</v>
      </c>
      <c r="C32" s="119">
        <f t="shared" si="1"/>
        <v>262000</v>
      </c>
      <c r="D32" s="119"/>
      <c r="E32" s="119"/>
      <c r="F32" s="119"/>
      <c r="G32" s="128">
        <v>262000</v>
      </c>
      <c r="H32" s="119"/>
      <c r="I32" s="119"/>
      <c r="J32" s="128"/>
      <c r="K32" s="119"/>
      <c r="L32" s="129"/>
      <c r="M32" s="129"/>
      <c r="N32" s="129"/>
    </row>
    <row r="33" spans="1:14">
      <c r="A33" s="126">
        <v>3237</v>
      </c>
      <c r="B33" s="127" t="s">
        <v>199</v>
      </c>
      <c r="C33" s="119">
        <f t="shared" si="1"/>
        <v>405000</v>
      </c>
      <c r="D33" s="119"/>
      <c r="E33" s="119"/>
      <c r="F33" s="119"/>
      <c r="G33" s="128">
        <f>405000-M33</f>
        <v>405000</v>
      </c>
      <c r="H33" s="119"/>
      <c r="I33" s="119"/>
      <c r="J33" s="128"/>
      <c r="K33" s="119"/>
      <c r="L33" s="129"/>
      <c r="M33" s="129"/>
      <c r="N33" s="129"/>
    </row>
    <row r="34" spans="1:14">
      <c r="A34" s="126">
        <v>3238</v>
      </c>
      <c r="B34" s="127" t="s">
        <v>200</v>
      </c>
      <c r="C34" s="119">
        <f t="shared" si="1"/>
        <v>376000</v>
      </c>
      <c r="D34" s="119"/>
      <c r="E34" s="119"/>
      <c r="F34" s="119"/>
      <c r="G34" s="128">
        <f>376000-M34</f>
        <v>376000</v>
      </c>
      <c r="H34" s="119"/>
      <c r="I34" s="119"/>
      <c r="J34" s="128"/>
      <c r="K34" s="119"/>
      <c r="L34" s="134"/>
      <c r="M34" s="134"/>
      <c r="N34" s="134"/>
    </row>
    <row r="35" spans="1:14">
      <c r="A35" s="126">
        <v>3239</v>
      </c>
      <c r="B35" s="127" t="s">
        <v>201</v>
      </c>
      <c r="C35" s="119">
        <f t="shared" si="1"/>
        <v>110000</v>
      </c>
      <c r="D35" s="119"/>
      <c r="E35" s="119"/>
      <c r="F35" s="119"/>
      <c r="G35" s="128">
        <f>110000</f>
        <v>110000</v>
      </c>
      <c r="H35" s="119"/>
      <c r="I35" s="119"/>
      <c r="J35" s="128"/>
      <c r="K35" s="119"/>
      <c r="L35" s="129"/>
      <c r="M35" s="129"/>
      <c r="N35" s="129"/>
    </row>
    <row r="36" spans="1:14">
      <c r="A36" s="126">
        <v>3241</v>
      </c>
      <c r="B36" s="127" t="s">
        <v>202</v>
      </c>
      <c r="C36" s="119">
        <f t="shared" si="1"/>
        <v>40000</v>
      </c>
      <c r="D36" s="119"/>
      <c r="E36" s="119"/>
      <c r="F36" s="119"/>
      <c r="G36" s="128">
        <v>40000</v>
      </c>
      <c r="H36" s="135"/>
      <c r="I36" s="119"/>
      <c r="J36" s="128"/>
      <c r="K36" s="119"/>
      <c r="L36" s="119"/>
      <c r="M36" s="119"/>
      <c r="N36" s="119"/>
    </row>
    <row r="37" spans="1:14">
      <c r="A37" s="126">
        <v>3291</v>
      </c>
      <c r="B37" s="127" t="s">
        <v>203</v>
      </c>
      <c r="C37" s="119">
        <f t="shared" si="1"/>
        <v>54000</v>
      </c>
      <c r="D37" s="119"/>
      <c r="E37" s="119"/>
      <c r="F37" s="119"/>
      <c r="G37" s="128">
        <v>54000</v>
      </c>
      <c r="H37" s="119"/>
      <c r="I37" s="119"/>
      <c r="J37" s="128"/>
      <c r="K37" s="119"/>
      <c r="L37" s="119"/>
      <c r="M37" s="119"/>
      <c r="N37" s="119"/>
    </row>
    <row r="38" spans="1:14">
      <c r="A38" s="126">
        <v>3292</v>
      </c>
      <c r="B38" s="127" t="s">
        <v>204</v>
      </c>
      <c r="C38" s="119">
        <f t="shared" si="1"/>
        <v>186000</v>
      </c>
      <c r="D38" s="119"/>
      <c r="E38" s="119"/>
      <c r="F38" s="119"/>
      <c r="G38" s="128">
        <v>186000</v>
      </c>
      <c r="H38" s="119"/>
      <c r="I38" s="119"/>
      <c r="J38" s="128"/>
      <c r="K38" s="119"/>
      <c r="L38" s="119"/>
      <c r="M38" s="119"/>
      <c r="N38" s="119"/>
    </row>
    <row r="39" spans="1:14">
      <c r="A39" s="126">
        <v>3293</v>
      </c>
      <c r="B39" s="127" t="s">
        <v>205</v>
      </c>
      <c r="C39" s="119">
        <f t="shared" si="1"/>
        <v>0</v>
      </c>
      <c r="D39" s="119"/>
      <c r="E39" s="119"/>
      <c r="F39" s="119"/>
      <c r="G39" s="128"/>
      <c r="H39" s="119"/>
      <c r="I39" s="119"/>
      <c r="J39" s="128"/>
      <c r="K39" s="119"/>
      <c r="L39" s="119"/>
      <c r="M39" s="119"/>
      <c r="N39" s="119"/>
    </row>
    <row r="40" spans="1:14">
      <c r="A40" s="126">
        <v>3294</v>
      </c>
      <c r="B40" s="127" t="s">
        <v>206</v>
      </c>
      <c r="C40" s="119">
        <f t="shared" si="1"/>
        <v>19000</v>
      </c>
      <c r="D40" s="119"/>
      <c r="E40" s="119"/>
      <c r="F40" s="119"/>
      <c r="G40" s="128">
        <v>19000</v>
      </c>
      <c r="H40" s="119"/>
      <c r="I40" s="119"/>
      <c r="J40" s="119"/>
      <c r="K40" s="119"/>
      <c r="L40" s="119"/>
      <c r="M40" s="119"/>
      <c r="N40" s="119"/>
    </row>
    <row r="41" spans="1:14">
      <c r="A41" s="126">
        <v>3295</v>
      </c>
      <c r="B41" s="127" t="s">
        <v>207</v>
      </c>
      <c r="C41" s="119">
        <f t="shared" si="1"/>
        <v>46000</v>
      </c>
      <c r="D41" s="119"/>
      <c r="E41" s="119"/>
      <c r="F41" s="119"/>
      <c r="G41" s="128">
        <v>46000</v>
      </c>
      <c r="H41" s="119"/>
      <c r="I41" s="119"/>
      <c r="J41" s="119"/>
      <c r="K41" s="119"/>
      <c r="L41" s="119"/>
      <c r="M41" s="119"/>
      <c r="N41" s="119"/>
    </row>
    <row r="42" spans="1:14">
      <c r="A42" s="126">
        <v>3299</v>
      </c>
      <c r="B42" s="127" t="s">
        <v>26</v>
      </c>
      <c r="C42" s="119">
        <f t="shared" si="1"/>
        <v>18000</v>
      </c>
      <c r="D42" s="119"/>
      <c r="E42" s="119"/>
      <c r="F42" s="119"/>
      <c r="G42" s="128">
        <v>18000</v>
      </c>
      <c r="H42" s="119"/>
      <c r="I42" s="128"/>
      <c r="J42" s="119"/>
      <c r="K42" s="119"/>
      <c r="L42" s="119"/>
      <c r="M42" s="119"/>
      <c r="N42" s="119"/>
    </row>
    <row r="43" spans="1:14">
      <c r="A43" s="126">
        <v>3431</v>
      </c>
      <c r="B43" s="127" t="s">
        <v>208</v>
      </c>
      <c r="C43" s="119">
        <f t="shared" si="1"/>
        <v>13000</v>
      </c>
      <c r="D43" s="119"/>
      <c r="E43" s="119"/>
      <c r="F43" s="119"/>
      <c r="G43" s="128">
        <v>13000</v>
      </c>
      <c r="H43" s="119"/>
      <c r="I43" s="119"/>
      <c r="J43" s="119"/>
      <c r="K43" s="119"/>
      <c r="L43" s="119"/>
      <c r="M43" s="119"/>
      <c r="N43" s="119"/>
    </row>
    <row r="44" spans="1:14">
      <c r="A44" s="126">
        <v>3434</v>
      </c>
      <c r="B44" s="127" t="s">
        <v>209</v>
      </c>
      <c r="C44" s="119">
        <f t="shared" si="1"/>
        <v>60000</v>
      </c>
      <c r="D44" s="119"/>
      <c r="E44" s="119"/>
      <c r="F44" s="119"/>
      <c r="G44" s="128">
        <v>60000</v>
      </c>
      <c r="H44" s="119"/>
      <c r="I44" s="119"/>
      <c r="J44" s="119"/>
      <c r="K44" s="119"/>
      <c r="L44" s="119"/>
      <c r="M44" s="119"/>
      <c r="N44" s="119"/>
    </row>
    <row r="45" spans="1:14" s="125" customFormat="1">
      <c r="A45" s="122">
        <v>420603</v>
      </c>
      <c r="B45" s="123" t="s">
        <v>210</v>
      </c>
      <c r="C45" s="138">
        <f>SUM(C46:C52)</f>
        <v>1973000</v>
      </c>
      <c r="D45" s="138">
        <f>SUM(D46:D52)</f>
        <v>0</v>
      </c>
      <c r="E45" s="138">
        <f t="shared" ref="E45:N45" si="2">SUM(E46:E52)</f>
        <v>0</v>
      </c>
      <c r="F45" s="138">
        <f t="shared" si="2"/>
        <v>0</v>
      </c>
      <c r="G45" s="138">
        <f t="shared" si="2"/>
        <v>1973000</v>
      </c>
      <c r="H45" s="138">
        <f t="shared" si="2"/>
        <v>0</v>
      </c>
      <c r="I45" s="138">
        <f t="shared" si="2"/>
        <v>0</v>
      </c>
      <c r="J45" s="138">
        <f t="shared" si="2"/>
        <v>0</v>
      </c>
      <c r="K45" s="138">
        <f t="shared" si="2"/>
        <v>0</v>
      </c>
      <c r="L45" s="138">
        <f t="shared" si="2"/>
        <v>0</v>
      </c>
      <c r="M45" s="138">
        <f t="shared" si="2"/>
        <v>0</v>
      </c>
      <c r="N45" s="138">
        <f t="shared" si="2"/>
        <v>0</v>
      </c>
    </row>
    <row r="46" spans="1:14">
      <c r="A46" s="126">
        <v>3111</v>
      </c>
      <c r="B46" s="127" t="s">
        <v>176</v>
      </c>
      <c r="C46" s="119">
        <f>SUM(D46:L46)</f>
        <v>1450000</v>
      </c>
      <c r="D46" s="119"/>
      <c r="E46" s="119"/>
      <c r="F46" s="119"/>
      <c r="G46" s="128">
        <v>1450000</v>
      </c>
      <c r="H46" s="119"/>
      <c r="I46" s="119"/>
      <c r="J46" s="119"/>
      <c r="K46" s="119"/>
      <c r="L46" s="119"/>
      <c r="M46" s="119"/>
      <c r="N46" s="119"/>
    </row>
    <row r="47" spans="1:14">
      <c r="A47" s="126">
        <v>3114</v>
      </c>
      <c r="B47" s="127" t="s">
        <v>211</v>
      </c>
      <c r="C47" s="119">
        <f t="shared" ref="C47:C52" si="3">SUM(D47:L47)</f>
        <v>135000</v>
      </c>
      <c r="D47" s="119"/>
      <c r="E47" s="119"/>
      <c r="F47" s="119"/>
      <c r="G47" s="128">
        <v>135000</v>
      </c>
      <c r="H47" s="119"/>
      <c r="I47" s="119"/>
      <c r="J47" s="119"/>
      <c r="K47" s="119"/>
      <c r="L47" s="119"/>
      <c r="M47" s="119"/>
      <c r="N47" s="119"/>
    </row>
    <row r="48" spans="1:14">
      <c r="A48" s="126">
        <v>3121</v>
      </c>
      <c r="B48" s="127" t="s">
        <v>20</v>
      </c>
      <c r="C48" s="119">
        <f t="shared" si="3"/>
        <v>42000</v>
      </c>
      <c r="D48" s="119"/>
      <c r="E48" s="119"/>
      <c r="F48" s="119"/>
      <c r="G48" s="128">
        <v>42000</v>
      </c>
      <c r="H48" s="119"/>
      <c r="I48" s="119"/>
      <c r="J48" s="119"/>
      <c r="K48" s="119"/>
      <c r="L48" s="119"/>
      <c r="M48" s="119"/>
      <c r="N48" s="119"/>
    </row>
    <row r="49" spans="1:14">
      <c r="A49" s="126">
        <v>3131</v>
      </c>
      <c r="B49" s="139" t="s">
        <v>180</v>
      </c>
      <c r="C49" s="119">
        <f t="shared" si="3"/>
        <v>0</v>
      </c>
      <c r="D49" s="119"/>
      <c r="E49" s="119"/>
      <c r="F49" s="119"/>
      <c r="G49" s="128"/>
      <c r="H49" s="119"/>
      <c r="I49" s="119"/>
      <c r="J49" s="119"/>
      <c r="K49" s="119"/>
      <c r="L49" s="119"/>
      <c r="M49" s="119"/>
      <c r="N49" s="119"/>
    </row>
    <row r="50" spans="1:14">
      <c r="A50" s="126">
        <v>3132</v>
      </c>
      <c r="B50" s="127" t="s">
        <v>181</v>
      </c>
      <c r="C50" s="119">
        <f t="shared" si="3"/>
        <v>266000</v>
      </c>
      <c r="D50" s="119"/>
      <c r="E50" s="119"/>
      <c r="F50" s="119"/>
      <c r="G50" s="128">
        <v>266000</v>
      </c>
      <c r="H50" s="119"/>
      <c r="I50" s="119"/>
      <c r="J50" s="119"/>
      <c r="K50" s="119"/>
      <c r="L50" s="119"/>
      <c r="M50" s="119"/>
      <c r="N50" s="119"/>
    </row>
    <row r="51" spans="1:14" ht="25.5">
      <c r="A51" s="126">
        <v>3133</v>
      </c>
      <c r="B51" s="139" t="s">
        <v>182</v>
      </c>
      <c r="C51" s="119">
        <f t="shared" si="3"/>
        <v>0</v>
      </c>
      <c r="D51" s="119"/>
      <c r="E51" s="119"/>
      <c r="F51" s="119"/>
      <c r="G51" s="128"/>
      <c r="H51" s="119"/>
      <c r="I51" s="119"/>
      <c r="J51" s="119"/>
      <c r="K51" s="119"/>
      <c r="L51" s="119"/>
      <c r="M51" s="119"/>
      <c r="N51" s="119"/>
    </row>
    <row r="52" spans="1:14" ht="25.5">
      <c r="A52" s="126">
        <v>3212</v>
      </c>
      <c r="B52" s="127" t="s">
        <v>184</v>
      </c>
      <c r="C52" s="119">
        <f t="shared" si="3"/>
        <v>80000</v>
      </c>
      <c r="D52" s="119"/>
      <c r="E52" s="119"/>
      <c r="F52" s="119"/>
      <c r="G52" s="128">
        <v>80000</v>
      </c>
      <c r="H52" s="119"/>
      <c r="I52" s="119"/>
      <c r="J52" s="119"/>
      <c r="K52" s="119"/>
      <c r="L52" s="119"/>
      <c r="M52" s="119"/>
      <c r="N52" s="119"/>
    </row>
    <row r="53" spans="1:14" ht="25.5">
      <c r="A53" s="200" t="s">
        <v>256</v>
      </c>
      <c r="B53" s="120" t="s">
        <v>257</v>
      </c>
      <c r="C53" s="142"/>
      <c r="D53" s="142"/>
      <c r="E53" s="142"/>
      <c r="F53" s="142"/>
      <c r="G53" s="201"/>
      <c r="H53" s="142"/>
      <c r="I53" s="142"/>
      <c r="J53" s="142"/>
      <c r="K53" s="142"/>
      <c r="L53" s="142"/>
      <c r="M53" s="142"/>
      <c r="N53" s="142"/>
    </row>
    <row r="54" spans="1:14" ht="25.5">
      <c r="A54" s="140">
        <v>420705</v>
      </c>
      <c r="B54" s="141" t="s">
        <v>212</v>
      </c>
      <c r="C54" s="138">
        <f t="shared" ref="C54:N54" si="4">SUM(C55:C95)</f>
        <v>13365250</v>
      </c>
      <c r="D54" s="138">
        <f t="shared" si="4"/>
        <v>0</v>
      </c>
      <c r="E54" s="138">
        <f t="shared" si="4"/>
        <v>0</v>
      </c>
      <c r="F54" s="138">
        <f t="shared" si="4"/>
        <v>13365250</v>
      </c>
      <c r="G54" s="138">
        <f t="shared" si="4"/>
        <v>0</v>
      </c>
      <c r="H54" s="138">
        <f t="shared" si="4"/>
        <v>0</v>
      </c>
      <c r="I54" s="138">
        <f t="shared" si="4"/>
        <v>0</v>
      </c>
      <c r="J54" s="138">
        <f t="shared" si="4"/>
        <v>0</v>
      </c>
      <c r="K54" s="138">
        <f t="shared" si="4"/>
        <v>0</v>
      </c>
      <c r="L54" s="138">
        <f t="shared" si="4"/>
        <v>0</v>
      </c>
      <c r="M54" s="138">
        <f t="shared" si="4"/>
        <v>0</v>
      </c>
      <c r="N54" s="138">
        <f t="shared" si="4"/>
        <v>0</v>
      </c>
    </row>
    <row r="55" spans="1:14">
      <c r="A55" s="126">
        <v>3111</v>
      </c>
      <c r="B55" s="127" t="s">
        <v>176</v>
      </c>
      <c r="C55" s="119">
        <f>SUM(D55:L55)</f>
        <v>4500000</v>
      </c>
      <c r="D55" s="119"/>
      <c r="E55" s="119"/>
      <c r="F55" s="128">
        <v>4500000</v>
      </c>
      <c r="G55" s="119"/>
      <c r="H55" s="119"/>
      <c r="I55" s="119"/>
      <c r="J55" s="119"/>
      <c r="K55" s="119"/>
      <c r="L55" s="128"/>
      <c r="M55" s="128"/>
      <c r="N55" s="128"/>
    </row>
    <row r="56" spans="1:14">
      <c r="A56" s="126">
        <v>3112</v>
      </c>
      <c r="B56" s="127" t="s">
        <v>177</v>
      </c>
      <c r="C56" s="119">
        <f t="shared" ref="C56:C95" si="5">SUM(D56:L56)</f>
        <v>0</v>
      </c>
      <c r="D56" s="119"/>
      <c r="E56" s="119"/>
      <c r="F56" s="128">
        <v>0</v>
      </c>
      <c r="G56" s="119"/>
      <c r="H56" s="119"/>
      <c r="I56" s="119"/>
      <c r="J56" s="119"/>
      <c r="K56" s="119"/>
      <c r="L56" s="128"/>
      <c r="M56" s="128"/>
      <c r="N56" s="128"/>
    </row>
    <row r="57" spans="1:14">
      <c r="A57" s="126">
        <v>3113</v>
      </c>
      <c r="B57" s="127" t="s">
        <v>178</v>
      </c>
      <c r="C57" s="119">
        <f t="shared" si="5"/>
        <v>0</v>
      </c>
      <c r="D57" s="119"/>
      <c r="E57" s="119"/>
      <c r="F57" s="128">
        <v>0</v>
      </c>
      <c r="G57" s="119"/>
      <c r="H57" s="119"/>
      <c r="I57" s="119"/>
      <c r="J57" s="119"/>
      <c r="K57" s="119"/>
      <c r="L57" s="128"/>
      <c r="M57" s="128"/>
      <c r="N57" s="128"/>
    </row>
    <row r="58" spans="1:14">
      <c r="A58" s="126">
        <v>3114</v>
      </c>
      <c r="B58" s="127" t="s">
        <v>179</v>
      </c>
      <c r="C58" s="119">
        <f t="shared" si="5"/>
        <v>140000</v>
      </c>
      <c r="D58" s="119"/>
      <c r="E58" s="119"/>
      <c r="F58" s="128">
        <v>140000</v>
      </c>
      <c r="G58" s="119"/>
      <c r="H58" s="119"/>
      <c r="I58" s="119"/>
      <c r="J58" s="119"/>
      <c r="K58" s="119"/>
      <c r="L58" s="128"/>
      <c r="M58" s="128"/>
      <c r="N58" s="128"/>
    </row>
    <row r="59" spans="1:14">
      <c r="A59" s="126">
        <v>3121</v>
      </c>
      <c r="B59" s="127" t="s">
        <v>20</v>
      </c>
      <c r="C59" s="119">
        <f t="shared" si="5"/>
        <v>110000</v>
      </c>
      <c r="D59" s="119"/>
      <c r="E59" s="119"/>
      <c r="F59" s="128">
        <v>110000</v>
      </c>
      <c r="G59" s="119"/>
      <c r="H59" s="119"/>
      <c r="I59" s="119"/>
      <c r="J59" s="119"/>
      <c r="K59" s="119"/>
      <c r="L59" s="128"/>
      <c r="M59" s="128"/>
      <c r="N59" s="128"/>
    </row>
    <row r="60" spans="1:14">
      <c r="A60" s="126">
        <v>3131</v>
      </c>
      <c r="B60" s="127" t="s">
        <v>180</v>
      </c>
      <c r="C60" s="119">
        <f t="shared" si="5"/>
        <v>0</v>
      </c>
      <c r="D60" s="119"/>
      <c r="E60" s="119"/>
      <c r="F60" s="128"/>
      <c r="G60" s="119"/>
      <c r="H60" s="119"/>
      <c r="I60" s="119"/>
      <c r="J60" s="119"/>
      <c r="K60" s="119"/>
      <c r="L60" s="119"/>
      <c r="M60" s="119"/>
      <c r="N60" s="119"/>
    </row>
    <row r="61" spans="1:14">
      <c r="A61" s="126">
        <v>3132</v>
      </c>
      <c r="B61" s="127" t="s">
        <v>181</v>
      </c>
      <c r="C61" s="119">
        <f t="shared" si="5"/>
        <v>770000</v>
      </c>
      <c r="D61" s="119"/>
      <c r="E61" s="119"/>
      <c r="F61" s="128">
        <v>770000</v>
      </c>
      <c r="G61" s="119"/>
      <c r="H61" s="119"/>
      <c r="I61" s="119"/>
      <c r="J61" s="119"/>
      <c r="K61" s="119"/>
      <c r="L61" s="119"/>
      <c r="M61" s="119"/>
      <c r="N61" s="119"/>
    </row>
    <row r="62" spans="1:14" ht="25.5">
      <c r="A62" s="126">
        <v>3133</v>
      </c>
      <c r="B62" s="127" t="s">
        <v>182</v>
      </c>
      <c r="C62" s="119">
        <f t="shared" si="5"/>
        <v>0</v>
      </c>
      <c r="D62" s="119"/>
      <c r="E62" s="119"/>
      <c r="F62" s="128">
        <v>0</v>
      </c>
      <c r="G62" s="119"/>
      <c r="H62" s="119"/>
      <c r="I62" s="119"/>
      <c r="J62" s="119"/>
      <c r="K62" s="119"/>
      <c r="L62" s="119"/>
      <c r="M62" s="119"/>
      <c r="N62" s="119"/>
    </row>
    <row r="63" spans="1:14">
      <c r="A63" s="126">
        <v>3211</v>
      </c>
      <c r="B63" s="127" t="s">
        <v>183</v>
      </c>
      <c r="C63" s="119">
        <f t="shared" si="5"/>
        <v>42000</v>
      </c>
      <c r="D63" s="119"/>
      <c r="E63" s="119"/>
      <c r="F63" s="128">
        <v>42000</v>
      </c>
      <c r="G63" s="119"/>
      <c r="H63" s="119"/>
      <c r="I63" s="119"/>
      <c r="J63" s="119"/>
      <c r="K63" s="119"/>
      <c r="L63" s="119"/>
      <c r="M63" s="119"/>
      <c r="N63" s="119"/>
    </row>
    <row r="64" spans="1:14" ht="25.5">
      <c r="A64" s="126">
        <v>3212</v>
      </c>
      <c r="B64" s="127" t="s">
        <v>184</v>
      </c>
      <c r="C64" s="119">
        <f t="shared" si="5"/>
        <v>214000</v>
      </c>
      <c r="D64" s="119"/>
      <c r="E64" s="119"/>
      <c r="F64" s="128">
        <v>214000</v>
      </c>
      <c r="G64" s="119"/>
      <c r="H64" s="119"/>
      <c r="I64" s="119"/>
      <c r="J64" s="119"/>
      <c r="K64" s="119"/>
      <c r="L64" s="119"/>
      <c r="M64" s="119"/>
      <c r="N64" s="119"/>
    </row>
    <row r="65" spans="1:14">
      <c r="A65" s="126">
        <v>3213</v>
      </c>
      <c r="B65" s="127" t="s">
        <v>185</v>
      </c>
      <c r="C65" s="119">
        <f t="shared" si="5"/>
        <v>36000</v>
      </c>
      <c r="D65" s="119"/>
      <c r="E65" s="119"/>
      <c r="F65" s="128">
        <v>36000</v>
      </c>
      <c r="G65" s="119"/>
      <c r="H65" s="119"/>
      <c r="I65" s="119"/>
      <c r="J65" s="119"/>
      <c r="K65" s="119"/>
      <c r="L65" s="119"/>
      <c r="M65" s="119"/>
      <c r="N65" s="119"/>
    </row>
    <row r="66" spans="1:14">
      <c r="A66" s="126">
        <v>3214</v>
      </c>
      <c r="B66" s="127" t="s">
        <v>186</v>
      </c>
      <c r="C66" s="119">
        <f t="shared" si="5"/>
        <v>0</v>
      </c>
      <c r="D66" s="119"/>
      <c r="E66" s="119"/>
      <c r="F66" s="128">
        <v>0</v>
      </c>
      <c r="G66" s="119"/>
      <c r="H66" s="119"/>
      <c r="I66" s="119"/>
      <c r="J66" s="119"/>
      <c r="K66" s="119"/>
      <c r="L66" s="119"/>
      <c r="M66" s="119"/>
      <c r="N66" s="119"/>
    </row>
    <row r="67" spans="1:14">
      <c r="A67" s="126">
        <v>3221</v>
      </c>
      <c r="B67" s="127" t="s">
        <v>187</v>
      </c>
      <c r="C67" s="119">
        <f t="shared" si="5"/>
        <v>160000</v>
      </c>
      <c r="D67" s="119"/>
      <c r="E67" s="119"/>
      <c r="F67" s="128">
        <v>160000</v>
      </c>
      <c r="G67" s="119"/>
      <c r="H67" s="119"/>
      <c r="I67" s="119"/>
      <c r="J67" s="119"/>
      <c r="K67" s="119"/>
      <c r="L67" s="119"/>
      <c r="M67" s="119"/>
      <c r="N67" s="119"/>
    </row>
    <row r="68" spans="1:14">
      <c r="A68" s="126">
        <v>3222</v>
      </c>
      <c r="B68" s="127" t="s">
        <v>213</v>
      </c>
      <c r="C68" s="119">
        <f t="shared" si="5"/>
        <v>3280000</v>
      </c>
      <c r="D68" s="119"/>
      <c r="E68" s="119"/>
      <c r="F68" s="128">
        <f>2280000+1000000</f>
        <v>3280000</v>
      </c>
      <c r="G68" s="119"/>
      <c r="H68" s="119"/>
      <c r="I68" s="119"/>
      <c r="J68" s="119"/>
      <c r="K68" s="119"/>
      <c r="L68" s="119"/>
      <c r="M68" s="119"/>
      <c r="N68" s="119"/>
    </row>
    <row r="69" spans="1:14">
      <c r="A69" s="126">
        <v>3223</v>
      </c>
      <c r="B69" s="127" t="s">
        <v>189</v>
      </c>
      <c r="C69" s="119">
        <f t="shared" si="5"/>
        <v>580000</v>
      </c>
      <c r="D69" s="119"/>
      <c r="E69" s="119"/>
      <c r="F69" s="128">
        <v>580000</v>
      </c>
      <c r="G69" s="119"/>
      <c r="H69" s="119"/>
      <c r="I69" s="119"/>
      <c r="J69" s="119"/>
      <c r="K69" s="119"/>
      <c r="L69" s="119"/>
      <c r="M69" s="119"/>
      <c r="N69" s="119"/>
    </row>
    <row r="70" spans="1:14" ht="25.5">
      <c r="A70" s="126">
        <v>3224</v>
      </c>
      <c r="B70" s="127" t="s">
        <v>190</v>
      </c>
      <c r="C70" s="119">
        <f t="shared" si="5"/>
        <v>120000</v>
      </c>
      <c r="D70" s="119"/>
      <c r="E70" s="119"/>
      <c r="F70" s="128">
        <v>120000</v>
      </c>
      <c r="G70" s="119"/>
      <c r="H70" s="119"/>
      <c r="I70" s="119"/>
      <c r="J70" s="119"/>
      <c r="K70" s="119"/>
      <c r="L70" s="119"/>
      <c r="M70" s="119"/>
      <c r="N70" s="119"/>
    </row>
    <row r="71" spans="1:14">
      <c r="A71" s="126">
        <v>3225</v>
      </c>
      <c r="B71" s="127" t="s">
        <v>191</v>
      </c>
      <c r="C71" s="119">
        <f t="shared" si="5"/>
        <v>52000</v>
      </c>
      <c r="D71" s="119"/>
      <c r="E71" s="119"/>
      <c r="F71" s="128">
        <v>52000</v>
      </c>
      <c r="G71" s="119"/>
      <c r="H71" s="119"/>
      <c r="I71" s="119"/>
      <c r="J71" s="119"/>
      <c r="K71" s="119"/>
      <c r="L71" s="119"/>
      <c r="M71" s="119"/>
      <c r="N71" s="119"/>
    </row>
    <row r="72" spans="1:14">
      <c r="A72" s="126">
        <v>3227</v>
      </c>
      <c r="B72" s="127" t="s">
        <v>214</v>
      </c>
      <c r="C72" s="119">
        <f t="shared" si="5"/>
        <v>20000</v>
      </c>
      <c r="D72" s="119"/>
      <c r="E72" s="119"/>
      <c r="F72" s="128">
        <v>20000</v>
      </c>
      <c r="G72" s="119"/>
      <c r="H72" s="119"/>
      <c r="I72" s="119"/>
      <c r="J72" s="119"/>
      <c r="K72" s="119"/>
      <c r="L72" s="119"/>
      <c r="M72" s="119"/>
      <c r="N72" s="119"/>
    </row>
    <row r="73" spans="1:14">
      <c r="A73" s="126">
        <v>3231</v>
      </c>
      <c r="B73" s="127" t="s">
        <v>193</v>
      </c>
      <c r="C73" s="119">
        <f t="shared" si="5"/>
        <v>72000</v>
      </c>
      <c r="D73" s="119"/>
      <c r="E73" s="119"/>
      <c r="F73" s="128">
        <v>72000</v>
      </c>
      <c r="G73" s="119"/>
      <c r="H73" s="119"/>
      <c r="I73" s="119"/>
      <c r="J73" s="119"/>
      <c r="K73" s="119"/>
      <c r="L73" s="119"/>
      <c r="M73" s="119"/>
      <c r="N73" s="119"/>
    </row>
    <row r="74" spans="1:14">
      <c r="A74" s="126">
        <v>3232</v>
      </c>
      <c r="B74" s="127" t="s">
        <v>194</v>
      </c>
      <c r="C74" s="119">
        <f t="shared" si="5"/>
        <v>1890140</v>
      </c>
      <c r="D74" s="119"/>
      <c r="E74" s="119"/>
      <c r="F74" s="128">
        <f>1514390+375750</f>
        <v>1890140</v>
      </c>
      <c r="G74" s="119"/>
      <c r="H74" s="119"/>
      <c r="I74" s="119"/>
      <c r="J74" s="119"/>
      <c r="K74" s="119"/>
      <c r="L74" s="119"/>
      <c r="M74" s="119"/>
      <c r="N74" s="119"/>
    </row>
    <row r="75" spans="1:14">
      <c r="A75" s="126">
        <v>3233</v>
      </c>
      <c r="B75" s="127" t="s">
        <v>215</v>
      </c>
      <c r="C75" s="119">
        <f t="shared" si="5"/>
        <v>180000</v>
      </c>
      <c r="D75" s="119"/>
      <c r="E75" s="119"/>
      <c r="F75" s="128">
        <v>180000</v>
      </c>
      <c r="G75" s="119"/>
      <c r="H75" s="119"/>
      <c r="I75" s="119"/>
      <c r="J75" s="119"/>
      <c r="K75" s="119"/>
      <c r="L75" s="119"/>
      <c r="M75" s="119"/>
      <c r="N75" s="119"/>
    </row>
    <row r="76" spans="1:14">
      <c r="A76" s="126">
        <v>3234</v>
      </c>
      <c r="B76" s="127" t="s">
        <v>196</v>
      </c>
      <c r="C76" s="119">
        <f t="shared" si="5"/>
        <v>345000</v>
      </c>
      <c r="D76" s="119"/>
      <c r="E76" s="119"/>
      <c r="F76" s="128">
        <v>345000</v>
      </c>
      <c r="G76" s="119"/>
      <c r="H76" s="119"/>
      <c r="I76" s="119"/>
      <c r="J76" s="119"/>
      <c r="K76" s="119"/>
      <c r="L76" s="119"/>
      <c r="M76" s="119"/>
      <c r="N76" s="119"/>
    </row>
    <row r="77" spans="1:14">
      <c r="A77" s="126">
        <v>3235</v>
      </c>
      <c r="B77" s="127" t="s">
        <v>197</v>
      </c>
      <c r="C77" s="119">
        <f t="shared" si="5"/>
        <v>90000</v>
      </c>
      <c r="D77" s="119"/>
      <c r="E77" s="119"/>
      <c r="F77" s="128">
        <v>90000</v>
      </c>
      <c r="G77" s="119"/>
      <c r="H77" s="119"/>
      <c r="I77" s="119"/>
      <c r="J77" s="119"/>
      <c r="K77" s="119"/>
      <c r="L77" s="119"/>
      <c r="M77" s="119"/>
      <c r="N77" s="119"/>
    </row>
    <row r="78" spans="1:14">
      <c r="A78" s="126">
        <v>3236</v>
      </c>
      <c r="B78" s="127" t="s">
        <v>198</v>
      </c>
      <c r="C78" s="119">
        <f t="shared" si="5"/>
        <v>88000</v>
      </c>
      <c r="D78" s="119"/>
      <c r="E78" s="119"/>
      <c r="F78" s="128">
        <v>88000</v>
      </c>
      <c r="G78" s="119"/>
      <c r="H78" s="119"/>
      <c r="I78" s="119"/>
      <c r="J78" s="119"/>
      <c r="K78" s="119"/>
      <c r="L78" s="119"/>
      <c r="M78" s="119"/>
      <c r="N78" s="119"/>
    </row>
    <row r="79" spans="1:14">
      <c r="A79" s="126">
        <v>3237</v>
      </c>
      <c r="B79" s="127" t="s">
        <v>199</v>
      </c>
      <c r="C79" s="119">
        <f t="shared" si="5"/>
        <v>75000</v>
      </c>
      <c r="D79" s="119"/>
      <c r="E79" s="119"/>
      <c r="F79" s="128">
        <v>75000</v>
      </c>
      <c r="G79" s="119"/>
      <c r="H79" s="119"/>
      <c r="I79" s="119"/>
      <c r="J79" s="119"/>
      <c r="K79" s="119"/>
      <c r="L79" s="119"/>
      <c r="M79" s="119"/>
      <c r="N79" s="119"/>
    </row>
    <row r="80" spans="1:14">
      <c r="A80" s="126">
        <v>3238</v>
      </c>
      <c r="B80" s="127" t="s">
        <v>200</v>
      </c>
      <c r="C80" s="119">
        <f t="shared" si="5"/>
        <v>174000</v>
      </c>
      <c r="D80" s="119"/>
      <c r="E80" s="119"/>
      <c r="F80" s="128">
        <v>174000</v>
      </c>
      <c r="G80" s="119"/>
      <c r="H80" s="119"/>
      <c r="I80" s="119"/>
      <c r="J80" s="119"/>
      <c r="K80" s="119"/>
      <c r="L80" s="119"/>
      <c r="M80" s="119"/>
      <c r="N80" s="119"/>
    </row>
    <row r="81" spans="1:14">
      <c r="A81" s="126">
        <v>3239</v>
      </c>
      <c r="B81" s="127" t="s">
        <v>201</v>
      </c>
      <c r="C81" s="119">
        <f t="shared" si="5"/>
        <v>190000</v>
      </c>
      <c r="D81" s="119"/>
      <c r="E81" s="119"/>
      <c r="F81" s="128">
        <v>190000</v>
      </c>
      <c r="G81" s="119"/>
      <c r="H81" s="119"/>
      <c r="I81" s="119"/>
      <c r="J81" s="119"/>
      <c r="K81" s="119"/>
      <c r="L81" s="119"/>
      <c r="M81" s="119"/>
      <c r="N81" s="119"/>
    </row>
    <row r="82" spans="1:14" ht="25.5">
      <c r="A82" s="126">
        <v>3241</v>
      </c>
      <c r="B82" s="127" t="s">
        <v>48</v>
      </c>
      <c r="C82" s="119">
        <f t="shared" si="5"/>
        <v>0</v>
      </c>
      <c r="D82" s="119"/>
      <c r="E82" s="119"/>
      <c r="F82" s="128">
        <v>0</v>
      </c>
      <c r="G82" s="119"/>
      <c r="H82" s="119"/>
      <c r="I82" s="119"/>
      <c r="J82" s="119"/>
      <c r="K82" s="119"/>
      <c r="L82" s="119"/>
      <c r="M82" s="119"/>
      <c r="N82" s="119"/>
    </row>
    <row r="83" spans="1:14" ht="25.5">
      <c r="A83" s="126">
        <v>3291</v>
      </c>
      <c r="B83" s="127" t="s">
        <v>216</v>
      </c>
      <c r="C83" s="119">
        <f t="shared" si="5"/>
        <v>0</v>
      </c>
      <c r="D83" s="119"/>
      <c r="E83" s="119"/>
      <c r="F83" s="128">
        <v>0</v>
      </c>
      <c r="G83" s="119"/>
      <c r="H83" s="119"/>
      <c r="I83" s="119"/>
      <c r="J83" s="119"/>
      <c r="K83" s="119"/>
      <c r="L83" s="119"/>
      <c r="M83" s="119"/>
      <c r="N83" s="119"/>
    </row>
    <row r="84" spans="1:14">
      <c r="A84" s="126">
        <v>3292</v>
      </c>
      <c r="B84" s="127" t="s">
        <v>217</v>
      </c>
      <c r="C84" s="119">
        <f t="shared" si="5"/>
        <v>54000</v>
      </c>
      <c r="D84" s="119"/>
      <c r="E84" s="119"/>
      <c r="F84" s="128">
        <v>54000</v>
      </c>
      <c r="G84" s="119"/>
      <c r="H84" s="119"/>
      <c r="I84" s="119"/>
      <c r="J84" s="119"/>
      <c r="K84" s="119"/>
      <c r="L84" s="119"/>
      <c r="M84" s="119"/>
      <c r="N84" s="119"/>
    </row>
    <row r="85" spans="1:14">
      <c r="A85" s="126">
        <v>3293</v>
      </c>
      <c r="B85" s="127" t="s">
        <v>205</v>
      </c>
      <c r="C85" s="119">
        <f t="shared" si="5"/>
        <v>50000</v>
      </c>
      <c r="D85" s="119"/>
      <c r="E85" s="119"/>
      <c r="F85" s="128">
        <v>50000</v>
      </c>
      <c r="G85" s="119"/>
      <c r="H85" s="119"/>
      <c r="I85" s="119"/>
      <c r="J85" s="119"/>
      <c r="K85" s="119"/>
      <c r="L85" s="119"/>
      <c r="M85" s="119"/>
      <c r="N85" s="119"/>
    </row>
    <row r="86" spans="1:14">
      <c r="A86" s="126">
        <v>3294</v>
      </c>
      <c r="B86" s="127" t="s">
        <v>218</v>
      </c>
      <c r="C86" s="119">
        <f t="shared" si="5"/>
        <v>21000</v>
      </c>
      <c r="D86" s="119"/>
      <c r="E86" s="119"/>
      <c r="F86" s="128">
        <v>21000</v>
      </c>
      <c r="G86" s="119"/>
      <c r="H86" s="119"/>
      <c r="I86" s="119"/>
      <c r="J86" s="119"/>
      <c r="K86" s="119"/>
      <c r="L86" s="119"/>
      <c r="M86" s="119"/>
      <c r="N86" s="119"/>
    </row>
    <row r="87" spans="1:14">
      <c r="A87" s="126">
        <v>3295</v>
      </c>
      <c r="B87" s="127" t="s">
        <v>207</v>
      </c>
      <c r="C87" s="119">
        <f t="shared" si="5"/>
        <v>14000</v>
      </c>
      <c r="D87" s="119"/>
      <c r="E87" s="119"/>
      <c r="F87" s="128">
        <v>14000</v>
      </c>
      <c r="G87" s="119"/>
      <c r="H87" s="119"/>
      <c r="I87" s="119"/>
      <c r="J87" s="119"/>
      <c r="K87" s="119"/>
      <c r="L87" s="119"/>
      <c r="M87" s="119"/>
      <c r="N87" s="119"/>
    </row>
    <row r="88" spans="1:14">
      <c r="A88" s="126">
        <v>3296</v>
      </c>
      <c r="B88" s="127" t="s">
        <v>219</v>
      </c>
      <c r="C88" s="119">
        <f t="shared" si="5"/>
        <v>0</v>
      </c>
      <c r="D88" s="119"/>
      <c r="E88" s="119"/>
      <c r="F88" s="128">
        <v>0</v>
      </c>
      <c r="G88" s="119"/>
      <c r="H88" s="119"/>
      <c r="I88" s="119"/>
      <c r="J88" s="119"/>
      <c r="K88" s="119"/>
      <c r="L88" s="119"/>
      <c r="M88" s="119"/>
      <c r="N88" s="119"/>
    </row>
    <row r="89" spans="1:14">
      <c r="A89" s="126">
        <v>3299</v>
      </c>
      <c r="B89" s="127" t="s">
        <v>26</v>
      </c>
      <c r="C89" s="119">
        <f t="shared" si="5"/>
        <v>2000</v>
      </c>
      <c r="D89" s="119"/>
      <c r="E89" s="119"/>
      <c r="F89" s="128">
        <v>2000</v>
      </c>
      <c r="G89" s="119"/>
      <c r="H89" s="119"/>
      <c r="I89" s="119"/>
      <c r="J89" s="119"/>
      <c r="K89" s="119"/>
      <c r="L89" s="119"/>
      <c r="M89" s="119"/>
      <c r="N89" s="119"/>
    </row>
    <row r="90" spans="1:14" ht="25.5">
      <c r="A90" s="126">
        <v>3423</v>
      </c>
      <c r="B90" s="127" t="s">
        <v>220</v>
      </c>
      <c r="C90" s="119">
        <f t="shared" si="5"/>
        <v>22610</v>
      </c>
      <c r="D90" s="119"/>
      <c r="E90" s="119"/>
      <c r="F90" s="128">
        <v>22610</v>
      </c>
      <c r="G90" s="119"/>
      <c r="H90" s="119"/>
      <c r="I90" s="119"/>
      <c r="J90" s="119"/>
      <c r="K90" s="119"/>
      <c r="L90" s="119"/>
      <c r="M90" s="119"/>
      <c r="N90" s="119"/>
    </row>
    <row r="91" spans="1:14">
      <c r="A91" s="126">
        <v>3431</v>
      </c>
      <c r="B91" s="127" t="s">
        <v>208</v>
      </c>
      <c r="C91" s="119">
        <f t="shared" si="5"/>
        <v>10000</v>
      </c>
      <c r="D91" s="119"/>
      <c r="E91" s="119"/>
      <c r="F91" s="128">
        <v>10000</v>
      </c>
      <c r="G91" s="119"/>
      <c r="H91" s="119"/>
      <c r="I91" s="119"/>
      <c r="J91" s="119"/>
      <c r="K91" s="119"/>
      <c r="L91" s="119"/>
      <c r="M91" s="119"/>
      <c r="N91" s="119"/>
    </row>
    <row r="92" spans="1:14" ht="25.5">
      <c r="A92" s="126">
        <v>3432</v>
      </c>
      <c r="B92" s="127" t="s">
        <v>221</v>
      </c>
      <c r="C92" s="119">
        <f t="shared" si="5"/>
        <v>3000</v>
      </c>
      <c r="D92" s="119"/>
      <c r="E92" s="119"/>
      <c r="F92" s="128">
        <v>3000</v>
      </c>
      <c r="G92" s="119"/>
      <c r="H92" s="119"/>
      <c r="I92" s="119"/>
      <c r="J92" s="119"/>
      <c r="K92" s="119"/>
      <c r="L92" s="119"/>
      <c r="M92" s="119"/>
      <c r="N92" s="119"/>
    </row>
    <row r="93" spans="1:14">
      <c r="A93" s="126">
        <v>3433</v>
      </c>
      <c r="B93" s="127" t="s">
        <v>222</v>
      </c>
      <c r="C93" s="119">
        <f t="shared" si="5"/>
        <v>500</v>
      </c>
      <c r="D93" s="119"/>
      <c r="E93" s="119"/>
      <c r="F93" s="128">
        <v>500</v>
      </c>
      <c r="G93" s="119"/>
      <c r="H93" s="119"/>
      <c r="I93" s="119"/>
      <c r="J93" s="119"/>
      <c r="K93" s="119"/>
      <c r="L93" s="119"/>
      <c r="M93" s="119"/>
      <c r="N93" s="119"/>
    </row>
    <row r="94" spans="1:14">
      <c r="A94" s="126">
        <v>3434</v>
      </c>
      <c r="B94" s="127" t="s">
        <v>27</v>
      </c>
      <c r="C94" s="119">
        <f t="shared" si="5"/>
        <v>60000</v>
      </c>
      <c r="D94" s="119"/>
      <c r="E94" s="119"/>
      <c r="F94" s="128">
        <v>60000</v>
      </c>
      <c r="G94" s="119"/>
      <c r="H94" s="119"/>
      <c r="I94" s="119"/>
      <c r="J94" s="119"/>
      <c r="K94" s="119"/>
      <c r="L94" s="119"/>
      <c r="M94" s="119"/>
      <c r="N94" s="119"/>
    </row>
    <row r="95" spans="1:14">
      <c r="A95" s="126">
        <v>3831</v>
      </c>
      <c r="B95" s="127" t="s">
        <v>223</v>
      </c>
      <c r="C95" s="119">
        <f t="shared" si="5"/>
        <v>0</v>
      </c>
      <c r="D95" s="119"/>
      <c r="E95" s="119"/>
      <c r="F95" s="128">
        <v>0</v>
      </c>
      <c r="G95" s="119"/>
      <c r="H95" s="119"/>
      <c r="I95" s="119"/>
      <c r="J95" s="119"/>
      <c r="K95" s="119"/>
      <c r="L95" s="119"/>
      <c r="M95" s="119"/>
      <c r="N95" s="119"/>
    </row>
    <row r="96" spans="1:14">
      <c r="A96" s="126"/>
      <c r="B96" s="127"/>
      <c r="C96" s="119"/>
      <c r="D96" s="119"/>
      <c r="E96" s="119"/>
      <c r="F96" s="128"/>
      <c r="G96" s="119"/>
      <c r="H96" s="119"/>
      <c r="I96" s="119"/>
      <c r="J96" s="119"/>
      <c r="K96" s="119"/>
      <c r="L96" s="119"/>
      <c r="M96" s="119"/>
      <c r="N96" s="119"/>
    </row>
    <row r="97" spans="1:14" ht="25.5">
      <c r="A97" s="200" t="s">
        <v>258</v>
      </c>
      <c r="B97" s="120" t="s">
        <v>224</v>
      </c>
      <c r="C97" s="142"/>
      <c r="D97" s="121"/>
      <c r="E97" s="121" t="s">
        <v>225</v>
      </c>
      <c r="F97" s="142"/>
      <c r="G97" s="142"/>
      <c r="H97" s="142"/>
      <c r="I97" s="142"/>
      <c r="J97" s="142"/>
      <c r="K97" s="142"/>
      <c r="L97" s="142"/>
      <c r="M97" s="142"/>
      <c r="N97" s="142"/>
    </row>
    <row r="98" spans="1:14" s="125" customFormat="1" ht="25.5">
      <c r="A98" s="122">
        <v>420801</v>
      </c>
      <c r="B98" s="123" t="s">
        <v>226</v>
      </c>
      <c r="C98" s="124">
        <f>SUM(C99:C111)</f>
        <v>0</v>
      </c>
      <c r="D98" s="124">
        <f>SUM(D99:D111)</f>
        <v>0</v>
      </c>
      <c r="E98" s="124">
        <f>SUM(E99:E111)</f>
        <v>0</v>
      </c>
      <c r="F98" s="124">
        <f t="shared" ref="F98:N98" si="6">SUM(F99:F111)</f>
        <v>0</v>
      </c>
      <c r="G98" s="124">
        <f t="shared" si="6"/>
        <v>0</v>
      </c>
      <c r="H98" s="124">
        <f t="shared" si="6"/>
        <v>0</v>
      </c>
      <c r="I98" s="124">
        <f t="shared" si="6"/>
        <v>0</v>
      </c>
      <c r="J98" s="124">
        <f t="shared" si="6"/>
        <v>0</v>
      </c>
      <c r="K98" s="124">
        <f t="shared" si="6"/>
        <v>0</v>
      </c>
      <c r="L98" s="124">
        <f t="shared" si="6"/>
        <v>0</v>
      </c>
      <c r="M98" s="124">
        <f t="shared" si="6"/>
        <v>0</v>
      </c>
      <c r="N98" s="124">
        <f t="shared" si="6"/>
        <v>0</v>
      </c>
    </row>
    <row r="99" spans="1:14" ht="25.5">
      <c r="A99" s="126">
        <v>3224</v>
      </c>
      <c r="B99" s="127" t="s">
        <v>190</v>
      </c>
      <c r="C99" s="119">
        <f>SUM(D99:L99)</f>
        <v>0</v>
      </c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</row>
    <row r="100" spans="1:14">
      <c r="A100" s="126">
        <v>3232</v>
      </c>
      <c r="B100" s="127" t="s">
        <v>227</v>
      </c>
      <c r="C100" s="119">
        <f t="shared" ref="C100:C110" si="7">SUM(D100:L100)</f>
        <v>0</v>
      </c>
      <c r="D100" s="119"/>
      <c r="E100" s="128"/>
      <c r="F100" s="119"/>
      <c r="G100" s="119"/>
      <c r="H100" s="119"/>
      <c r="I100" s="119"/>
      <c r="J100" s="119"/>
      <c r="K100" s="119"/>
      <c r="L100" s="119"/>
      <c r="M100" s="119"/>
      <c r="N100" s="119"/>
    </row>
    <row r="101" spans="1:14">
      <c r="A101" s="126">
        <v>4123</v>
      </c>
      <c r="B101" s="127" t="s">
        <v>228</v>
      </c>
      <c r="C101" s="119">
        <f t="shared" si="7"/>
        <v>0</v>
      </c>
      <c r="D101" s="119"/>
      <c r="E101" s="128"/>
      <c r="F101" s="119"/>
      <c r="G101" s="119"/>
      <c r="H101" s="119"/>
      <c r="I101" s="119"/>
      <c r="J101" s="119"/>
      <c r="K101" s="119"/>
      <c r="L101" s="119"/>
      <c r="M101" s="119"/>
      <c r="N101" s="119"/>
    </row>
    <row r="102" spans="1:14">
      <c r="A102" s="126">
        <v>4221</v>
      </c>
      <c r="B102" s="127" t="s">
        <v>229</v>
      </c>
      <c r="C102" s="119">
        <f t="shared" si="7"/>
        <v>0</v>
      </c>
      <c r="D102" s="119"/>
      <c r="E102" s="128"/>
      <c r="F102" s="119"/>
      <c r="G102" s="119"/>
      <c r="H102" s="119"/>
      <c r="I102" s="119"/>
      <c r="J102" s="119"/>
      <c r="K102" s="119"/>
      <c r="L102" s="119"/>
      <c r="M102" s="119"/>
      <c r="N102" s="119"/>
    </row>
    <row r="103" spans="1:14">
      <c r="A103" s="126">
        <v>4222</v>
      </c>
      <c r="B103" s="127" t="s">
        <v>230</v>
      </c>
      <c r="C103" s="119">
        <f t="shared" si="7"/>
        <v>0</v>
      </c>
      <c r="D103" s="119"/>
      <c r="E103" s="128"/>
      <c r="F103" s="119"/>
      <c r="G103" s="119"/>
      <c r="H103" s="119"/>
      <c r="I103" s="119"/>
      <c r="J103" s="119"/>
      <c r="K103" s="119"/>
      <c r="L103" s="119"/>
      <c r="M103" s="119"/>
      <c r="N103" s="119"/>
    </row>
    <row r="104" spans="1:14">
      <c r="A104" s="126">
        <v>4223</v>
      </c>
      <c r="B104" s="127" t="s">
        <v>231</v>
      </c>
      <c r="C104" s="119">
        <f t="shared" si="7"/>
        <v>0</v>
      </c>
      <c r="D104" s="119"/>
      <c r="E104" s="128"/>
      <c r="F104" s="119"/>
      <c r="G104" s="119"/>
      <c r="H104" s="119"/>
      <c r="I104" s="119"/>
      <c r="J104" s="119"/>
      <c r="K104" s="119"/>
      <c r="L104" s="119"/>
      <c r="M104" s="119"/>
      <c r="N104" s="119"/>
    </row>
    <row r="105" spans="1:14">
      <c r="A105" s="126">
        <v>4224</v>
      </c>
      <c r="B105" s="127" t="s">
        <v>232</v>
      </c>
      <c r="C105" s="119">
        <f t="shared" si="7"/>
        <v>0</v>
      </c>
      <c r="D105" s="119"/>
      <c r="E105" s="128"/>
      <c r="F105" s="119"/>
      <c r="G105" s="119"/>
      <c r="H105" s="119"/>
      <c r="I105" s="119"/>
      <c r="J105" s="119"/>
      <c r="K105" s="119"/>
      <c r="L105" s="119"/>
      <c r="M105" s="119"/>
      <c r="N105" s="119"/>
    </row>
    <row r="106" spans="1:14">
      <c r="A106" s="126">
        <v>4225</v>
      </c>
      <c r="B106" s="127" t="s">
        <v>233</v>
      </c>
      <c r="C106" s="119">
        <f t="shared" si="7"/>
        <v>0</v>
      </c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</row>
    <row r="107" spans="1:14">
      <c r="A107" s="126">
        <v>4227</v>
      </c>
      <c r="B107" s="127" t="s">
        <v>234</v>
      </c>
      <c r="C107" s="119">
        <f t="shared" si="7"/>
        <v>0</v>
      </c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</row>
    <row r="108" spans="1:14">
      <c r="A108" s="126">
        <v>4231</v>
      </c>
      <c r="B108" s="127" t="s">
        <v>74</v>
      </c>
      <c r="C108" s="119">
        <f t="shared" si="7"/>
        <v>0</v>
      </c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</row>
    <row r="109" spans="1:14">
      <c r="A109" s="126">
        <v>4262</v>
      </c>
      <c r="B109" s="127" t="s">
        <v>235</v>
      </c>
      <c r="C109" s="119">
        <f t="shared" si="7"/>
        <v>0</v>
      </c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</row>
    <row r="110" spans="1:14">
      <c r="A110" s="126">
        <v>4264</v>
      </c>
      <c r="B110" s="127" t="s">
        <v>236</v>
      </c>
      <c r="C110" s="119">
        <f t="shared" si="7"/>
        <v>0</v>
      </c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</row>
    <row r="111" spans="1:14">
      <c r="A111" s="126">
        <v>4511</v>
      </c>
      <c r="B111" s="127" t="s">
        <v>237</v>
      </c>
      <c r="C111" s="119">
        <f>SUM(D111:L111)</f>
        <v>0</v>
      </c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</row>
    <row r="112" spans="1:14" s="125" customFormat="1">
      <c r="A112" s="122">
        <v>420802</v>
      </c>
      <c r="B112" s="123" t="s">
        <v>238</v>
      </c>
      <c r="C112" s="124">
        <f>SUM(C113:C124)</f>
        <v>3550000</v>
      </c>
      <c r="D112" s="138">
        <f>SUM(D113:D124)</f>
        <v>350000</v>
      </c>
      <c r="E112" s="138">
        <f t="shared" ref="E112" si="8">SUM(E113:E124)</f>
        <v>1950250</v>
      </c>
      <c r="F112" s="138">
        <f>SUM(F113:F124)</f>
        <v>1249750</v>
      </c>
      <c r="G112" s="138">
        <f>SUM(G114:G124)</f>
        <v>0</v>
      </c>
      <c r="H112" s="124">
        <f t="shared" ref="H112:N112" si="9">SUM(H114:H124)</f>
        <v>0</v>
      </c>
      <c r="I112" s="124">
        <f t="shared" si="9"/>
        <v>0</v>
      </c>
      <c r="J112" s="124">
        <f t="shared" si="9"/>
        <v>0</v>
      </c>
      <c r="K112" s="124">
        <f t="shared" si="9"/>
        <v>0</v>
      </c>
      <c r="L112" s="138">
        <f t="shared" si="9"/>
        <v>0</v>
      </c>
      <c r="M112" s="138">
        <f t="shared" si="9"/>
        <v>0</v>
      </c>
      <c r="N112" s="138">
        <f t="shared" si="9"/>
        <v>0</v>
      </c>
    </row>
    <row r="113" spans="1:14">
      <c r="A113" s="126">
        <v>3232</v>
      </c>
      <c r="B113" s="127" t="s">
        <v>227</v>
      </c>
      <c r="C113" s="119">
        <f>SUM(D113:N113)</f>
        <v>350000</v>
      </c>
      <c r="D113" s="165">
        <v>350000</v>
      </c>
      <c r="E113" s="119"/>
      <c r="F113" s="144"/>
      <c r="G113" s="128"/>
      <c r="H113" s="119"/>
      <c r="I113" s="119"/>
      <c r="J113" s="119"/>
      <c r="K113" s="119"/>
      <c r="L113" s="144"/>
      <c r="M113" s="144"/>
      <c r="N113" s="144"/>
    </row>
    <row r="114" spans="1:14">
      <c r="A114" s="126">
        <v>4123</v>
      </c>
      <c r="B114" s="100" t="s">
        <v>228</v>
      </c>
      <c r="C114" s="119">
        <f>SUM(D114:N114)</f>
        <v>50000</v>
      </c>
      <c r="D114" s="119"/>
      <c r="E114" s="119"/>
      <c r="F114" s="128">
        <v>50000</v>
      </c>
      <c r="G114" s="119"/>
      <c r="H114" s="119"/>
      <c r="I114" s="119"/>
      <c r="J114" s="119"/>
      <c r="K114" s="119"/>
      <c r="L114" s="128"/>
      <c r="M114" s="128"/>
      <c r="N114" s="128"/>
    </row>
    <row r="115" spans="1:14">
      <c r="A115" s="126">
        <v>4221</v>
      </c>
      <c r="B115" s="127" t="s">
        <v>229</v>
      </c>
      <c r="C115" s="119">
        <f t="shared" ref="C115:C124" si="10">SUM(D115:N115)</f>
        <v>420000</v>
      </c>
      <c r="D115" s="119"/>
      <c r="E115" s="119"/>
      <c r="F115" s="128">
        <v>420000</v>
      </c>
      <c r="G115" s="119"/>
      <c r="H115" s="119"/>
      <c r="I115" s="119"/>
      <c r="J115" s="119"/>
      <c r="K115" s="119"/>
      <c r="L115" s="134"/>
      <c r="M115" s="134"/>
      <c r="N115" s="134"/>
    </row>
    <row r="116" spans="1:14">
      <c r="A116" s="126">
        <v>4222</v>
      </c>
      <c r="B116" s="127" t="s">
        <v>230</v>
      </c>
      <c r="C116" s="119">
        <f t="shared" si="10"/>
        <v>70000</v>
      </c>
      <c r="D116" s="119"/>
      <c r="E116" s="119"/>
      <c r="F116" s="128">
        <v>70000</v>
      </c>
      <c r="G116" s="119"/>
      <c r="H116" s="119"/>
      <c r="I116" s="119"/>
      <c r="J116" s="119"/>
      <c r="K116" s="119"/>
      <c r="L116" s="134"/>
      <c r="M116" s="134"/>
      <c r="N116" s="134"/>
    </row>
    <row r="117" spans="1:14">
      <c r="A117" s="126">
        <v>4223</v>
      </c>
      <c r="B117" s="127" t="s">
        <v>231</v>
      </c>
      <c r="C117" s="119">
        <f t="shared" si="10"/>
        <v>60000</v>
      </c>
      <c r="D117" s="119"/>
      <c r="E117" s="119"/>
      <c r="F117" s="128">
        <v>60000</v>
      </c>
      <c r="G117" s="119"/>
      <c r="H117" s="119"/>
      <c r="I117" s="119"/>
      <c r="J117" s="119"/>
      <c r="K117" s="119"/>
      <c r="L117" s="134"/>
      <c r="M117" s="134"/>
      <c r="N117" s="134"/>
    </row>
    <row r="118" spans="1:14">
      <c r="A118" s="126">
        <v>4224</v>
      </c>
      <c r="B118" s="127" t="s">
        <v>232</v>
      </c>
      <c r="C118" s="119">
        <f t="shared" si="10"/>
        <v>2400000</v>
      </c>
      <c r="D118" s="119"/>
      <c r="E118" s="119">
        <v>1950250</v>
      </c>
      <c r="F118" s="128">
        <f>2400000-1950250</f>
        <v>449750</v>
      </c>
      <c r="G118" s="119"/>
      <c r="H118" s="119"/>
      <c r="I118" s="119"/>
      <c r="J118" s="119"/>
      <c r="K118" s="119"/>
      <c r="L118" s="134"/>
      <c r="M118" s="134"/>
      <c r="N118" s="134"/>
    </row>
    <row r="119" spans="1:14">
      <c r="A119" s="126">
        <v>4225</v>
      </c>
      <c r="B119" s="127" t="s">
        <v>233</v>
      </c>
      <c r="C119" s="119">
        <f t="shared" si="10"/>
        <v>0</v>
      </c>
      <c r="D119" s="119"/>
      <c r="E119" s="119"/>
      <c r="F119" s="128"/>
      <c r="G119" s="119"/>
      <c r="H119" s="119"/>
      <c r="I119" s="119"/>
      <c r="J119" s="119"/>
      <c r="K119" s="119"/>
      <c r="L119" s="134"/>
      <c r="M119" s="134"/>
      <c r="N119" s="134"/>
    </row>
    <row r="120" spans="1:14">
      <c r="A120" s="126">
        <v>4227</v>
      </c>
      <c r="B120" s="127" t="s">
        <v>234</v>
      </c>
      <c r="C120" s="119">
        <f t="shared" si="10"/>
        <v>50000</v>
      </c>
      <c r="D120" s="119"/>
      <c r="E120" s="119"/>
      <c r="F120" s="128">
        <v>50000</v>
      </c>
      <c r="G120" s="119"/>
      <c r="H120" s="119"/>
      <c r="I120" s="119"/>
      <c r="J120" s="119"/>
      <c r="K120" s="119"/>
      <c r="L120" s="134"/>
      <c r="M120" s="134"/>
      <c r="N120" s="134"/>
    </row>
    <row r="121" spans="1:14">
      <c r="A121" s="126">
        <v>4231</v>
      </c>
      <c r="B121" s="127" t="s">
        <v>74</v>
      </c>
      <c r="C121" s="119">
        <f t="shared" si="10"/>
        <v>0</v>
      </c>
      <c r="D121" s="119"/>
      <c r="E121" s="119"/>
      <c r="F121" s="128"/>
      <c r="G121" s="119"/>
      <c r="H121" s="119"/>
      <c r="I121" s="119"/>
      <c r="J121" s="119"/>
      <c r="K121" s="119"/>
      <c r="L121" s="134"/>
      <c r="M121" s="134"/>
      <c r="N121" s="134"/>
    </row>
    <row r="122" spans="1:14">
      <c r="A122" s="126">
        <v>4262</v>
      </c>
      <c r="B122" s="127" t="s">
        <v>235</v>
      </c>
      <c r="C122" s="119">
        <f t="shared" si="10"/>
        <v>150000</v>
      </c>
      <c r="D122" s="119"/>
      <c r="E122" s="119"/>
      <c r="F122" s="128">
        <v>150000</v>
      </c>
      <c r="G122" s="128"/>
      <c r="H122" s="119"/>
      <c r="I122" s="119"/>
      <c r="J122" s="119"/>
      <c r="K122" s="119"/>
      <c r="L122" s="134"/>
      <c r="M122" s="134"/>
      <c r="N122" s="134"/>
    </row>
    <row r="123" spans="1:14">
      <c r="A123" s="126">
        <v>4264</v>
      </c>
      <c r="B123" s="127" t="s">
        <v>236</v>
      </c>
      <c r="C123" s="119">
        <f t="shared" si="10"/>
        <v>0</v>
      </c>
      <c r="D123" s="119"/>
      <c r="E123" s="119"/>
      <c r="F123" s="128"/>
      <c r="G123" s="119"/>
      <c r="H123" s="119"/>
      <c r="I123" s="119"/>
      <c r="J123" s="119"/>
      <c r="K123" s="119"/>
      <c r="L123" s="128"/>
      <c r="M123" s="128"/>
      <c r="N123" s="128"/>
    </row>
    <row r="124" spans="1:14">
      <c r="A124" s="126">
        <v>4511</v>
      </c>
      <c r="B124" s="127" t="s">
        <v>237</v>
      </c>
      <c r="C124" s="119">
        <f t="shared" si="10"/>
        <v>0</v>
      </c>
      <c r="D124" s="119"/>
      <c r="E124" s="119"/>
      <c r="F124" s="128"/>
      <c r="G124" s="119"/>
      <c r="H124" s="119"/>
      <c r="I124" s="119"/>
      <c r="J124" s="119"/>
      <c r="K124" s="119"/>
      <c r="L124" s="128"/>
      <c r="M124" s="128"/>
      <c r="N124" s="128"/>
    </row>
    <row r="125" spans="1:14" s="125" customFormat="1">
      <c r="A125" s="136">
        <v>54</v>
      </c>
      <c r="B125" s="137" t="s">
        <v>239</v>
      </c>
      <c r="C125" s="124">
        <f>C126</f>
        <v>1049750</v>
      </c>
      <c r="D125" s="124">
        <f>SUM(D126)</f>
        <v>0</v>
      </c>
      <c r="E125" s="124">
        <f t="shared" ref="E125:K125" si="11">SUM(E126)</f>
        <v>1049750</v>
      </c>
      <c r="F125" s="138">
        <f t="shared" si="11"/>
        <v>0</v>
      </c>
      <c r="G125" s="124">
        <f t="shared" si="11"/>
        <v>0</v>
      </c>
      <c r="H125" s="124">
        <f t="shared" si="11"/>
        <v>0</v>
      </c>
      <c r="I125" s="124">
        <f t="shared" si="11"/>
        <v>0</v>
      </c>
      <c r="J125" s="124">
        <f t="shared" si="11"/>
        <v>0</v>
      </c>
      <c r="K125" s="124">
        <f t="shared" si="11"/>
        <v>0</v>
      </c>
      <c r="L125" s="124">
        <f>SUM(L126)</f>
        <v>0</v>
      </c>
      <c r="M125" s="124">
        <f>SUM(M126)</f>
        <v>0</v>
      </c>
      <c r="N125" s="124">
        <f>SUM(N126)</f>
        <v>0</v>
      </c>
    </row>
    <row r="126" spans="1:14" ht="25.5">
      <c r="A126" s="126">
        <v>5443</v>
      </c>
      <c r="B126" s="127" t="s">
        <v>240</v>
      </c>
      <c r="C126" s="119">
        <f t="shared" ref="C126" si="12">SUM(D126:L126)</f>
        <v>1049750</v>
      </c>
      <c r="D126" s="119"/>
      <c r="E126" s="119">
        <v>1049750</v>
      </c>
      <c r="F126" s="145"/>
      <c r="G126" s="119"/>
      <c r="H126" s="119"/>
      <c r="I126" s="119"/>
      <c r="J126" s="119"/>
      <c r="K126" s="119"/>
      <c r="L126" s="119"/>
      <c r="M126" s="119"/>
      <c r="N126" s="119"/>
    </row>
    <row r="127" spans="1:14">
      <c r="A127" s="146"/>
      <c r="B127" s="147"/>
      <c r="C127" s="148"/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</row>
    <row r="128" spans="1:14">
      <c r="A128" s="146"/>
      <c r="B128" s="147"/>
      <c r="C128" s="148"/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</row>
    <row r="129" spans="1:15" ht="13.5" thickBot="1">
      <c r="A129" s="107"/>
      <c r="B129" s="149" t="s">
        <v>241</v>
      </c>
      <c r="C129" s="150">
        <f>C8+C45+C54+C98+C112+C125</f>
        <v>72135000</v>
      </c>
      <c r="D129" s="150">
        <f>D8+D45+D54+D98+D112+D125</f>
        <v>350000</v>
      </c>
      <c r="E129" s="150">
        <f t="shared" ref="E129:N129" si="13">E8+E45+E54+E98+E112+E125</f>
        <v>3000000</v>
      </c>
      <c r="F129" s="150">
        <f t="shared" si="13"/>
        <v>14615000</v>
      </c>
      <c r="G129" s="150">
        <f t="shared" si="13"/>
        <v>53370000</v>
      </c>
      <c r="H129" s="150">
        <f t="shared" si="13"/>
        <v>100000</v>
      </c>
      <c r="I129" s="150">
        <f t="shared" si="13"/>
        <v>300000</v>
      </c>
      <c r="J129" s="150">
        <f t="shared" si="13"/>
        <v>400000</v>
      </c>
      <c r="K129" s="150">
        <f t="shared" si="13"/>
        <v>0</v>
      </c>
      <c r="L129" s="150">
        <f t="shared" si="13"/>
        <v>0</v>
      </c>
      <c r="M129" s="150">
        <f t="shared" si="13"/>
        <v>0</v>
      </c>
      <c r="N129" s="150">
        <f t="shared" si="13"/>
        <v>0</v>
      </c>
    </row>
    <row r="130" spans="1:15" ht="13.5" thickBot="1">
      <c r="A130" s="151"/>
      <c r="B130" s="152" t="s">
        <v>242</v>
      </c>
      <c r="C130" s="150">
        <f>SUM(D130:N130)</f>
        <v>72135000</v>
      </c>
      <c r="D130" s="153">
        <v>350000</v>
      </c>
      <c r="E130" s="153">
        <v>3000000</v>
      </c>
      <c r="F130" s="154">
        <v>14615000</v>
      </c>
      <c r="G130" s="153">
        <v>53370000</v>
      </c>
      <c r="H130" s="153">
        <v>100000</v>
      </c>
      <c r="I130" s="153">
        <v>300000</v>
      </c>
      <c r="J130" s="153">
        <v>400000</v>
      </c>
      <c r="K130" s="153"/>
      <c r="L130" s="153"/>
      <c r="M130" s="153"/>
      <c r="N130" s="153"/>
      <c r="O130" s="155"/>
    </row>
    <row r="131" spans="1:15">
      <c r="A131" s="151"/>
      <c r="B131" s="152" t="s">
        <v>243</v>
      </c>
      <c r="C131" s="154">
        <f>C129-C130</f>
        <v>0</v>
      </c>
      <c r="D131" s="153"/>
      <c r="E131" s="156">
        <f>E129-E130</f>
        <v>0</v>
      </c>
      <c r="F131" s="156">
        <f>F129-F130</f>
        <v>0</v>
      </c>
      <c r="G131" s="156">
        <f>G129-G130</f>
        <v>0</v>
      </c>
      <c r="H131" s="157">
        <f t="shared" ref="H131:N131" si="14">H129-H130</f>
        <v>0</v>
      </c>
      <c r="I131" s="157">
        <f t="shared" si="14"/>
        <v>0</v>
      </c>
      <c r="J131" s="157">
        <f t="shared" si="14"/>
        <v>0</v>
      </c>
      <c r="K131" s="157">
        <f t="shared" si="14"/>
        <v>0</v>
      </c>
      <c r="L131" s="157">
        <f t="shared" si="14"/>
        <v>0</v>
      </c>
      <c r="M131" s="157">
        <f t="shared" si="14"/>
        <v>0</v>
      </c>
      <c r="N131" s="157">
        <f t="shared" si="14"/>
        <v>0</v>
      </c>
    </row>
    <row r="132" spans="1:15" ht="13.5" thickBot="1">
      <c r="A132" s="151"/>
      <c r="B132" s="152"/>
      <c r="C132" s="154"/>
      <c r="D132" s="153"/>
      <c r="E132" s="154"/>
      <c r="F132" s="154"/>
      <c r="G132" s="153"/>
      <c r="H132" s="153"/>
      <c r="I132" s="153"/>
      <c r="J132" s="153"/>
      <c r="K132" s="153"/>
      <c r="L132" s="153"/>
      <c r="M132" s="153"/>
      <c r="N132" s="153"/>
    </row>
    <row r="133" spans="1:15" ht="13.5" thickBot="1">
      <c r="A133" s="151"/>
      <c r="B133" s="158" t="s">
        <v>244</v>
      </c>
      <c r="C133" s="159" t="s">
        <v>242</v>
      </c>
      <c r="D133" s="160">
        <v>90</v>
      </c>
      <c r="E133" s="161">
        <v>30</v>
      </c>
      <c r="F133" s="161">
        <v>20</v>
      </c>
      <c r="G133" s="161">
        <v>10</v>
      </c>
      <c r="H133" s="161">
        <v>40</v>
      </c>
      <c r="I133" s="161">
        <v>50</v>
      </c>
      <c r="J133" s="161">
        <v>60</v>
      </c>
      <c r="K133" s="161">
        <v>70</v>
      </c>
      <c r="L133" s="161">
        <v>80</v>
      </c>
      <c r="M133" s="161">
        <v>81</v>
      </c>
      <c r="N133" s="162">
        <v>82</v>
      </c>
    </row>
    <row r="134" spans="1:15">
      <c r="A134" s="151"/>
      <c r="B134" s="127">
        <v>100</v>
      </c>
      <c r="C134" s="163">
        <f>SUM(D134:N134)</f>
        <v>54170000</v>
      </c>
      <c r="D134" s="164">
        <f>D8+D45</f>
        <v>0</v>
      </c>
      <c r="E134" s="164">
        <f t="shared" ref="E134:N134" si="15">E8+E45</f>
        <v>0</v>
      </c>
      <c r="F134" s="164">
        <f t="shared" si="15"/>
        <v>0</v>
      </c>
      <c r="G134" s="164">
        <f t="shared" si="15"/>
        <v>53370000</v>
      </c>
      <c r="H134" s="164">
        <f t="shared" si="15"/>
        <v>100000</v>
      </c>
      <c r="I134" s="164">
        <f t="shared" si="15"/>
        <v>300000</v>
      </c>
      <c r="J134" s="164">
        <f t="shared" si="15"/>
        <v>400000</v>
      </c>
      <c r="K134" s="164">
        <f t="shared" si="15"/>
        <v>0</v>
      </c>
      <c r="L134" s="164">
        <f t="shared" si="15"/>
        <v>0</v>
      </c>
      <c r="M134" s="164">
        <f t="shared" si="15"/>
        <v>0</v>
      </c>
      <c r="N134" s="164">
        <f t="shared" si="15"/>
        <v>0</v>
      </c>
    </row>
    <row r="135" spans="1:15">
      <c r="A135" s="151"/>
      <c r="B135" s="127">
        <v>200</v>
      </c>
      <c r="C135" s="143">
        <f t="shared" ref="C135" si="16">SUM(D135:N135)</f>
        <v>13365250</v>
      </c>
      <c r="D135" s="165">
        <f>D54</f>
        <v>0</v>
      </c>
      <c r="E135" s="165">
        <f t="shared" ref="E135:N135" si="17">E54</f>
        <v>0</v>
      </c>
      <c r="F135" s="165">
        <f t="shared" si="17"/>
        <v>13365250</v>
      </c>
      <c r="G135" s="165">
        <f t="shared" si="17"/>
        <v>0</v>
      </c>
      <c r="H135" s="165">
        <f t="shared" si="17"/>
        <v>0</v>
      </c>
      <c r="I135" s="165">
        <f t="shared" si="17"/>
        <v>0</v>
      </c>
      <c r="J135" s="165">
        <f t="shared" si="17"/>
        <v>0</v>
      </c>
      <c r="K135" s="165">
        <f t="shared" si="17"/>
        <v>0</v>
      </c>
      <c r="L135" s="165">
        <f t="shared" si="17"/>
        <v>0</v>
      </c>
      <c r="M135" s="165">
        <f t="shared" si="17"/>
        <v>0</v>
      </c>
      <c r="N135" s="165">
        <f t="shared" si="17"/>
        <v>0</v>
      </c>
    </row>
    <row r="136" spans="1:15" ht="13.5" thickBot="1">
      <c r="A136" s="151"/>
      <c r="B136" s="127">
        <v>300</v>
      </c>
      <c r="C136" s="166">
        <f>SUM(D136:N136)</f>
        <v>4599750</v>
      </c>
      <c r="D136" s="167">
        <f>D98+D112+D125</f>
        <v>350000</v>
      </c>
      <c r="E136" s="167">
        <f t="shared" ref="E136:N136" si="18">E98+E112+E125</f>
        <v>3000000</v>
      </c>
      <c r="F136" s="167">
        <f t="shared" si="18"/>
        <v>1249750</v>
      </c>
      <c r="G136" s="167">
        <f t="shared" si="18"/>
        <v>0</v>
      </c>
      <c r="H136" s="167">
        <f t="shared" si="18"/>
        <v>0</v>
      </c>
      <c r="I136" s="167">
        <f t="shared" si="18"/>
        <v>0</v>
      </c>
      <c r="J136" s="167">
        <f t="shared" si="18"/>
        <v>0</v>
      </c>
      <c r="K136" s="167">
        <f t="shared" si="18"/>
        <v>0</v>
      </c>
      <c r="L136" s="167">
        <f t="shared" si="18"/>
        <v>0</v>
      </c>
      <c r="M136" s="167">
        <f t="shared" si="18"/>
        <v>0</v>
      </c>
      <c r="N136" s="167">
        <f t="shared" si="18"/>
        <v>0</v>
      </c>
    </row>
    <row r="137" spans="1:15" ht="13.5" thickBot="1">
      <c r="A137" s="151"/>
      <c r="B137" s="158" t="s">
        <v>245</v>
      </c>
      <c r="C137" s="168">
        <f>SUM(C134:C136)</f>
        <v>72135000</v>
      </c>
      <c r="D137" s="169">
        <f>SUM(D134:D136)</f>
        <v>350000</v>
      </c>
      <c r="E137" s="169">
        <f t="shared" ref="E137:N137" si="19">SUM(E134:E136)</f>
        <v>3000000</v>
      </c>
      <c r="F137" s="169">
        <f t="shared" si="19"/>
        <v>14615000</v>
      </c>
      <c r="G137" s="169">
        <f t="shared" si="19"/>
        <v>53370000</v>
      </c>
      <c r="H137" s="169">
        <f t="shared" si="19"/>
        <v>100000</v>
      </c>
      <c r="I137" s="169">
        <f t="shared" si="19"/>
        <v>300000</v>
      </c>
      <c r="J137" s="169">
        <f t="shared" si="19"/>
        <v>400000</v>
      </c>
      <c r="K137" s="169">
        <f t="shared" si="19"/>
        <v>0</v>
      </c>
      <c r="L137" s="169">
        <f t="shared" si="19"/>
        <v>0</v>
      </c>
      <c r="M137" s="169">
        <f t="shared" si="19"/>
        <v>0</v>
      </c>
      <c r="N137" s="170">
        <f t="shared" si="19"/>
        <v>0</v>
      </c>
    </row>
    <row r="138" spans="1:15">
      <c r="A138" s="151"/>
      <c r="B138" s="152"/>
      <c r="C138" s="153"/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/>
    </row>
    <row r="139" spans="1:15">
      <c r="A139" s="151"/>
      <c r="B139" s="152"/>
      <c r="C139" s="155"/>
      <c r="D139" s="155"/>
      <c r="E139" s="155"/>
      <c r="F139" s="155"/>
      <c r="G139" s="155"/>
      <c r="H139" s="155"/>
      <c r="I139" s="155"/>
      <c r="J139" s="155"/>
      <c r="K139" s="155"/>
      <c r="L139" s="155"/>
      <c r="M139" s="155"/>
      <c r="N139" s="155"/>
    </row>
    <row r="140" spans="1:15">
      <c r="A140" s="151"/>
      <c r="B140" s="152"/>
      <c r="C140" s="155"/>
      <c r="D140" s="155"/>
      <c r="E140" s="155"/>
      <c r="F140" s="155"/>
      <c r="G140" s="155"/>
      <c r="H140" s="155"/>
      <c r="I140" s="155"/>
      <c r="J140" s="155"/>
      <c r="K140" s="155"/>
      <c r="L140" s="155"/>
      <c r="M140" s="155"/>
      <c r="N140" s="155"/>
    </row>
    <row r="141" spans="1:15" ht="15.75">
      <c r="A141" s="151"/>
      <c r="B141" s="152"/>
      <c r="C141" s="155"/>
      <c r="D141" s="155"/>
      <c r="E141" s="155"/>
      <c r="F141" s="155"/>
      <c r="G141" s="155"/>
      <c r="H141" s="155"/>
      <c r="I141" s="155"/>
      <c r="J141" s="171"/>
      <c r="K141" s="172" t="s">
        <v>268</v>
      </c>
      <c r="L141" s="155"/>
      <c r="M141" s="155"/>
      <c r="N141" s="171"/>
    </row>
    <row r="142" spans="1:15" ht="15.75">
      <c r="A142" s="151"/>
      <c r="B142" s="152"/>
      <c r="C142" s="155"/>
      <c r="D142" s="155"/>
      <c r="E142" s="155"/>
      <c r="F142" s="155"/>
      <c r="G142" s="155"/>
      <c r="H142" s="155"/>
      <c r="I142" s="155"/>
      <c r="J142" s="171"/>
      <c r="K142" s="172" t="s">
        <v>269</v>
      </c>
      <c r="L142" s="171"/>
      <c r="M142" s="171"/>
      <c r="N142" s="171"/>
    </row>
    <row r="143" spans="1:15" ht="15.75">
      <c r="A143" s="151"/>
      <c r="B143" s="152"/>
      <c r="C143" s="155"/>
      <c r="D143" s="155"/>
      <c r="E143" s="155"/>
      <c r="F143" s="155"/>
      <c r="G143" s="155"/>
      <c r="H143" s="155"/>
      <c r="I143" s="155"/>
      <c r="J143" s="172"/>
      <c r="K143" s="171"/>
      <c r="L143" s="171"/>
      <c r="M143" s="171"/>
      <c r="N143" s="172"/>
    </row>
    <row r="144" spans="1:15">
      <c r="A144" s="151"/>
      <c r="B144" s="152"/>
      <c r="C144" s="155"/>
      <c r="D144" s="155"/>
      <c r="E144" s="155"/>
      <c r="F144" s="155"/>
      <c r="G144" s="155"/>
      <c r="H144" s="155"/>
      <c r="I144" s="155"/>
      <c r="J144" s="172"/>
      <c r="K144" s="172" t="s">
        <v>270</v>
      </c>
      <c r="L144" s="172"/>
      <c r="M144" s="172"/>
      <c r="N144" s="172"/>
    </row>
    <row r="145" spans="1:14">
      <c r="A145" s="151"/>
      <c r="B145" s="152"/>
      <c r="C145" s="155"/>
      <c r="D145" s="155"/>
      <c r="E145" s="155"/>
      <c r="F145" s="155"/>
      <c r="G145" s="155"/>
      <c r="H145" s="155"/>
      <c r="I145" s="155"/>
      <c r="J145" s="172"/>
      <c r="K145" s="172"/>
      <c r="L145" s="172"/>
      <c r="M145" s="172"/>
      <c r="N145" s="172"/>
    </row>
    <row r="146" spans="1:14">
      <c r="A146" s="151"/>
      <c r="B146" s="152"/>
      <c r="C146" s="155"/>
      <c r="D146" s="155"/>
      <c r="E146" s="155"/>
      <c r="F146" s="155"/>
      <c r="G146" s="155"/>
      <c r="H146" s="155"/>
      <c r="I146" s="155"/>
      <c r="J146" s="155"/>
      <c r="K146" s="155"/>
      <c r="L146" s="155"/>
      <c r="M146" s="155"/>
      <c r="N146" s="155"/>
    </row>
    <row r="147" spans="1:14">
      <c r="A147" s="151"/>
      <c r="B147" s="152"/>
      <c r="C147" s="155"/>
      <c r="D147" s="155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</row>
    <row r="148" spans="1:14">
      <c r="A148" s="151"/>
      <c r="B148" s="152"/>
      <c r="C148" s="155"/>
      <c r="D148" s="155"/>
      <c r="E148" s="155"/>
      <c r="F148" s="155"/>
      <c r="G148" s="155"/>
      <c r="H148" s="155"/>
      <c r="I148" s="155"/>
      <c r="J148" s="155"/>
      <c r="K148" s="155"/>
      <c r="L148" s="155"/>
      <c r="M148" s="155"/>
      <c r="N148" s="155"/>
    </row>
    <row r="149" spans="1:14">
      <c r="A149" s="151"/>
      <c r="B149" s="152"/>
      <c r="C149" s="155"/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</row>
    <row r="150" spans="1:14">
      <c r="A150" s="151"/>
      <c r="B150" s="152"/>
      <c r="C150" s="155"/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</row>
    <row r="151" spans="1:14">
      <c r="A151" s="151"/>
      <c r="B151" s="152"/>
      <c r="C151" s="155"/>
      <c r="D151" s="155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</row>
    <row r="152" spans="1:14">
      <c r="A152" s="151"/>
      <c r="B152" s="152"/>
      <c r="C152" s="155"/>
      <c r="D152" s="155"/>
      <c r="E152" s="155"/>
      <c r="F152" s="155"/>
      <c r="G152" s="155"/>
      <c r="H152" s="155"/>
      <c r="I152" s="155"/>
      <c r="J152" s="155"/>
      <c r="K152" s="155"/>
      <c r="L152" s="155"/>
      <c r="M152" s="155"/>
      <c r="N152" s="155"/>
    </row>
    <row r="153" spans="1:14">
      <c r="A153" s="151"/>
      <c r="B153" s="152"/>
      <c r="C153" s="155"/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</row>
    <row r="154" spans="1:14">
      <c r="A154" s="151"/>
      <c r="B154" s="152"/>
      <c r="C154" s="155"/>
      <c r="D154" s="155"/>
      <c r="E154" s="155"/>
      <c r="F154" s="155"/>
      <c r="G154" s="155"/>
      <c r="H154" s="155"/>
      <c r="I154" s="155"/>
      <c r="J154" s="155"/>
      <c r="K154" s="155"/>
      <c r="L154" s="155"/>
      <c r="M154" s="155"/>
      <c r="N154" s="155"/>
    </row>
    <row r="155" spans="1:14">
      <c r="A155" s="151"/>
      <c r="B155" s="152"/>
      <c r="C155" s="155"/>
      <c r="D155" s="155"/>
      <c r="E155" s="155"/>
      <c r="F155" s="155"/>
      <c r="G155" s="155"/>
      <c r="H155" s="155"/>
      <c r="I155" s="155"/>
      <c r="J155" s="155"/>
      <c r="K155" s="155"/>
      <c r="L155" s="155"/>
      <c r="M155" s="155"/>
      <c r="N155" s="155"/>
    </row>
    <row r="156" spans="1:14">
      <c r="A156" s="151"/>
      <c r="B156" s="152"/>
      <c r="C156" s="155"/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</row>
    <row r="157" spans="1:14">
      <c r="A157" s="151"/>
      <c r="B157" s="152"/>
      <c r="C157" s="155"/>
      <c r="D157" s="155"/>
      <c r="E157" s="155"/>
      <c r="F157" s="155"/>
      <c r="G157" s="155"/>
      <c r="H157" s="155"/>
      <c r="I157" s="155"/>
      <c r="J157" s="155"/>
      <c r="K157" s="155"/>
      <c r="L157" s="155"/>
      <c r="M157" s="155"/>
      <c r="N157" s="155"/>
    </row>
    <row r="158" spans="1:14">
      <c r="A158" s="151"/>
      <c r="B158" s="152"/>
      <c r="C158" s="155"/>
      <c r="D158" s="155"/>
      <c r="E158" s="155"/>
      <c r="F158" s="155"/>
      <c r="G158" s="155"/>
      <c r="H158" s="155"/>
      <c r="I158" s="155"/>
      <c r="J158" s="155"/>
      <c r="K158" s="155"/>
      <c r="L158" s="155"/>
      <c r="M158" s="155"/>
      <c r="N158" s="155"/>
    </row>
    <row r="159" spans="1:14">
      <c r="A159" s="151"/>
      <c r="B159" s="152"/>
      <c r="C159" s="155"/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</row>
    <row r="160" spans="1:14">
      <c r="A160" s="151"/>
      <c r="B160" s="152"/>
      <c r="C160" s="155"/>
      <c r="D160" s="155"/>
      <c r="E160" s="155"/>
      <c r="F160" s="155"/>
      <c r="G160" s="155"/>
      <c r="H160" s="155"/>
      <c r="I160" s="155"/>
      <c r="J160" s="155"/>
      <c r="K160" s="155"/>
      <c r="L160" s="155"/>
      <c r="M160" s="155"/>
      <c r="N160" s="155"/>
    </row>
    <row r="161" spans="1:14">
      <c r="A161" s="151"/>
      <c r="B161" s="152"/>
      <c r="C161" s="155"/>
      <c r="D161" s="155"/>
      <c r="E161" s="155"/>
      <c r="F161" s="155"/>
      <c r="G161" s="155"/>
      <c r="H161" s="155"/>
      <c r="I161" s="155"/>
      <c r="J161" s="155"/>
      <c r="K161" s="155"/>
      <c r="L161" s="155"/>
      <c r="M161" s="155"/>
      <c r="N161" s="155"/>
    </row>
    <row r="162" spans="1:14">
      <c r="A162" s="151"/>
      <c r="B162" s="152"/>
      <c r="C162" s="155"/>
      <c r="D162" s="155"/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</row>
    <row r="163" spans="1:14">
      <c r="A163" s="151"/>
      <c r="B163" s="152"/>
      <c r="C163" s="155"/>
      <c r="D163" s="155"/>
      <c r="E163" s="155"/>
      <c r="F163" s="155"/>
      <c r="G163" s="155"/>
      <c r="H163" s="155"/>
      <c r="I163" s="155"/>
      <c r="J163" s="155"/>
      <c r="K163" s="155"/>
      <c r="L163" s="155"/>
      <c r="M163" s="155"/>
      <c r="N163" s="155"/>
    </row>
    <row r="164" spans="1:14">
      <c r="A164" s="151"/>
      <c r="B164" s="152"/>
      <c r="C164" s="155"/>
      <c r="D164" s="155"/>
      <c r="E164" s="155"/>
      <c r="F164" s="155"/>
      <c r="G164" s="155"/>
      <c r="H164" s="155"/>
      <c r="I164" s="155"/>
      <c r="J164" s="155"/>
      <c r="K164" s="155"/>
      <c r="L164" s="155"/>
      <c r="M164" s="155"/>
      <c r="N164" s="155"/>
    </row>
    <row r="165" spans="1:14">
      <c r="A165" s="151"/>
      <c r="B165" s="152"/>
      <c r="C165" s="155"/>
      <c r="D165" s="155"/>
      <c r="E165" s="155"/>
      <c r="F165" s="155"/>
      <c r="G165" s="155"/>
      <c r="H165" s="155"/>
      <c r="I165" s="155"/>
      <c r="J165" s="155"/>
      <c r="K165" s="155"/>
      <c r="L165" s="155"/>
      <c r="M165" s="155"/>
      <c r="N165" s="155"/>
    </row>
    <row r="166" spans="1:14">
      <c r="A166" s="151"/>
      <c r="B166" s="152"/>
      <c r="C166" s="155"/>
      <c r="D166" s="155"/>
      <c r="E166" s="155"/>
      <c r="F166" s="155"/>
      <c r="G166" s="155"/>
      <c r="H166" s="155"/>
      <c r="I166" s="155"/>
      <c r="J166" s="155"/>
      <c r="K166" s="155"/>
      <c r="L166" s="155"/>
      <c r="M166" s="155"/>
      <c r="N166" s="155"/>
    </row>
    <row r="167" spans="1:14">
      <c r="A167" s="151"/>
      <c r="B167" s="152"/>
      <c r="C167" s="155"/>
      <c r="D167" s="155"/>
      <c r="E167" s="155"/>
      <c r="F167" s="155"/>
      <c r="G167" s="155"/>
      <c r="H167" s="155"/>
      <c r="I167" s="155"/>
      <c r="J167" s="155"/>
      <c r="K167" s="155"/>
      <c r="L167" s="155"/>
      <c r="M167" s="155"/>
      <c r="N167" s="155"/>
    </row>
    <row r="168" spans="1:14">
      <c r="A168" s="151"/>
      <c r="B168" s="152"/>
      <c r="C168" s="155"/>
      <c r="D168" s="155"/>
      <c r="E168" s="155"/>
      <c r="F168" s="155"/>
      <c r="G168" s="155"/>
      <c r="H168" s="155"/>
      <c r="I168" s="155"/>
      <c r="J168" s="155"/>
      <c r="K168" s="155"/>
      <c r="L168" s="155"/>
      <c r="M168" s="155"/>
      <c r="N168" s="155"/>
    </row>
    <row r="169" spans="1:14">
      <c r="A169" s="151"/>
      <c r="B169" s="152"/>
      <c r="C169" s="155"/>
      <c r="D169" s="155"/>
      <c r="E169" s="155"/>
      <c r="F169" s="155"/>
      <c r="G169" s="155"/>
      <c r="H169" s="155"/>
      <c r="I169" s="155"/>
      <c r="J169" s="155"/>
      <c r="K169" s="155"/>
      <c r="L169" s="155"/>
      <c r="M169" s="155"/>
      <c r="N169" s="155"/>
    </row>
    <row r="170" spans="1:14">
      <c r="A170" s="151"/>
      <c r="B170" s="152"/>
      <c r="C170" s="155"/>
      <c r="D170" s="155"/>
      <c r="E170" s="155"/>
      <c r="F170" s="155"/>
      <c r="G170" s="155"/>
      <c r="H170" s="155"/>
      <c r="I170" s="155"/>
      <c r="J170" s="155"/>
      <c r="K170" s="155"/>
      <c r="L170" s="155"/>
      <c r="M170" s="155"/>
      <c r="N170" s="155"/>
    </row>
    <row r="171" spans="1:14">
      <c r="A171" s="151"/>
      <c r="B171" s="152"/>
      <c r="C171" s="155"/>
      <c r="D171" s="155"/>
      <c r="E171" s="155"/>
      <c r="F171" s="155"/>
      <c r="G171" s="155"/>
      <c r="H171" s="155"/>
      <c r="I171" s="155"/>
      <c r="J171" s="155"/>
      <c r="K171" s="155"/>
      <c r="L171" s="155"/>
      <c r="M171" s="155"/>
      <c r="N171" s="155"/>
    </row>
    <row r="172" spans="1:14">
      <c r="A172" s="151"/>
      <c r="B172" s="152"/>
      <c r="C172" s="155"/>
      <c r="D172" s="155"/>
      <c r="E172" s="155"/>
      <c r="F172" s="155"/>
      <c r="G172" s="155"/>
      <c r="H172" s="155"/>
      <c r="I172" s="155"/>
      <c r="J172" s="155"/>
      <c r="K172" s="155"/>
      <c r="L172" s="155"/>
      <c r="M172" s="155"/>
      <c r="N172" s="155"/>
    </row>
    <row r="173" spans="1:14">
      <c r="A173" s="151"/>
      <c r="B173" s="152"/>
      <c r="C173" s="155"/>
      <c r="D173" s="155"/>
      <c r="E173" s="155"/>
      <c r="F173" s="155"/>
      <c r="G173" s="155"/>
      <c r="H173" s="155"/>
      <c r="I173" s="155"/>
      <c r="J173" s="155"/>
      <c r="K173" s="155"/>
      <c r="L173" s="155"/>
      <c r="M173" s="155"/>
      <c r="N173" s="155"/>
    </row>
    <row r="174" spans="1:14">
      <c r="A174" s="151"/>
      <c r="B174" s="152"/>
      <c r="C174" s="155"/>
      <c r="D174" s="155"/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</row>
    <row r="175" spans="1:14">
      <c r="A175" s="151"/>
      <c r="B175" s="152"/>
      <c r="C175" s="155"/>
      <c r="D175" s="155"/>
      <c r="E175" s="155"/>
      <c r="F175" s="155"/>
      <c r="G175" s="155"/>
      <c r="H175" s="155"/>
      <c r="I175" s="155"/>
      <c r="J175" s="155"/>
      <c r="K175" s="155"/>
      <c r="L175" s="155"/>
      <c r="M175" s="155"/>
      <c r="N175" s="155"/>
    </row>
    <row r="176" spans="1:14">
      <c r="A176" s="151"/>
      <c r="B176" s="152"/>
      <c r="C176" s="155"/>
      <c r="D176" s="155"/>
      <c r="E176" s="155"/>
      <c r="F176" s="155"/>
      <c r="G176" s="155"/>
      <c r="H176" s="155"/>
      <c r="I176" s="155"/>
      <c r="J176" s="155"/>
      <c r="K176" s="155"/>
      <c r="L176" s="155"/>
      <c r="M176" s="155"/>
      <c r="N176" s="155"/>
    </row>
    <row r="177" spans="1:14">
      <c r="A177" s="151"/>
      <c r="B177" s="152"/>
      <c r="C177" s="155"/>
      <c r="D177" s="155"/>
      <c r="E177" s="155"/>
      <c r="F177" s="155"/>
      <c r="G177" s="155"/>
      <c r="H177" s="155"/>
      <c r="I177" s="155"/>
      <c r="J177" s="155"/>
      <c r="K177" s="155"/>
      <c r="L177" s="155"/>
      <c r="M177" s="155"/>
      <c r="N177" s="155"/>
    </row>
    <row r="178" spans="1:14">
      <c r="A178" s="151"/>
      <c r="B178" s="152"/>
      <c r="C178" s="155"/>
      <c r="D178" s="155"/>
      <c r="E178" s="155"/>
      <c r="F178" s="155"/>
      <c r="G178" s="155"/>
      <c r="H178" s="155"/>
      <c r="I178" s="155"/>
      <c r="J178" s="155"/>
      <c r="K178" s="155"/>
      <c r="L178" s="155"/>
      <c r="M178" s="155"/>
      <c r="N178" s="155"/>
    </row>
    <row r="179" spans="1:14">
      <c r="A179" s="151"/>
      <c r="B179" s="152"/>
      <c r="C179" s="155"/>
      <c r="D179" s="155"/>
      <c r="E179" s="155"/>
      <c r="F179" s="155"/>
      <c r="G179" s="155"/>
      <c r="H179" s="155"/>
      <c r="I179" s="155"/>
      <c r="J179" s="155"/>
      <c r="K179" s="155"/>
      <c r="L179" s="155"/>
      <c r="M179" s="155"/>
      <c r="N179" s="155"/>
    </row>
    <row r="180" spans="1:14">
      <c r="A180" s="151"/>
      <c r="B180" s="152"/>
      <c r="C180" s="155"/>
      <c r="D180" s="155"/>
      <c r="E180" s="155"/>
      <c r="F180" s="155"/>
      <c r="G180" s="155"/>
      <c r="H180" s="155"/>
      <c r="I180" s="155"/>
      <c r="J180" s="155"/>
      <c r="K180" s="155"/>
      <c r="L180" s="155"/>
      <c r="M180" s="155"/>
      <c r="N180" s="155"/>
    </row>
    <row r="181" spans="1:14">
      <c r="A181" s="151"/>
      <c r="B181" s="152"/>
      <c r="C181" s="155"/>
      <c r="D181" s="155"/>
      <c r="E181" s="155"/>
      <c r="F181" s="155"/>
      <c r="G181" s="155"/>
      <c r="H181" s="155"/>
      <c r="I181" s="155"/>
      <c r="J181" s="155"/>
      <c r="K181" s="155"/>
      <c r="L181" s="155"/>
      <c r="M181" s="155"/>
      <c r="N181" s="155"/>
    </row>
    <row r="182" spans="1:14">
      <c r="A182" s="151"/>
      <c r="B182" s="152"/>
      <c r="C182" s="155"/>
      <c r="D182" s="155"/>
      <c r="E182" s="155"/>
      <c r="F182" s="155"/>
      <c r="G182" s="155"/>
      <c r="H182" s="155"/>
      <c r="I182" s="155"/>
      <c r="J182" s="155"/>
      <c r="K182" s="155"/>
      <c r="L182" s="155"/>
      <c r="M182" s="155"/>
      <c r="N182" s="155"/>
    </row>
    <row r="183" spans="1:14">
      <c r="A183" s="151"/>
      <c r="B183" s="152"/>
      <c r="C183" s="155"/>
      <c r="D183" s="155"/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</row>
    <row r="184" spans="1:14">
      <c r="A184" s="151"/>
      <c r="B184" s="152"/>
      <c r="C184" s="155"/>
      <c r="D184" s="155"/>
      <c r="E184" s="155"/>
      <c r="F184" s="155"/>
      <c r="G184" s="155"/>
      <c r="H184" s="155"/>
      <c r="I184" s="155"/>
      <c r="J184" s="155"/>
      <c r="K184" s="155"/>
      <c r="L184" s="155"/>
      <c r="M184" s="155"/>
      <c r="N184" s="155"/>
    </row>
    <row r="185" spans="1:14">
      <c r="A185" s="151"/>
      <c r="B185" s="152"/>
      <c r="C185" s="155"/>
      <c r="D185" s="155"/>
      <c r="E185" s="155"/>
      <c r="F185" s="155"/>
      <c r="G185" s="155"/>
      <c r="H185" s="155"/>
      <c r="I185" s="155"/>
      <c r="J185" s="155"/>
      <c r="K185" s="155"/>
      <c r="L185" s="155"/>
      <c r="M185" s="155"/>
      <c r="N185" s="155"/>
    </row>
    <row r="186" spans="1:14">
      <c r="A186" s="151"/>
      <c r="B186" s="152"/>
      <c r="C186" s="155"/>
      <c r="D186" s="155"/>
      <c r="E186" s="155"/>
      <c r="F186" s="155"/>
      <c r="G186" s="155"/>
      <c r="H186" s="155"/>
      <c r="I186" s="155"/>
      <c r="J186" s="155"/>
      <c r="K186" s="155"/>
      <c r="L186" s="155"/>
      <c r="M186" s="155"/>
      <c r="N186" s="155"/>
    </row>
    <row r="187" spans="1:14">
      <c r="A187" s="151"/>
      <c r="B187" s="152"/>
      <c r="C187" s="155"/>
      <c r="D187" s="155"/>
      <c r="E187" s="155"/>
      <c r="F187" s="155"/>
      <c r="G187" s="155"/>
      <c r="H187" s="155"/>
      <c r="I187" s="155"/>
      <c r="J187" s="155"/>
      <c r="K187" s="155"/>
      <c r="L187" s="155"/>
      <c r="M187" s="155"/>
      <c r="N187" s="155"/>
    </row>
    <row r="188" spans="1:14">
      <c r="A188" s="151"/>
      <c r="B188" s="152"/>
      <c r="C188" s="155"/>
      <c r="D188" s="155"/>
      <c r="E188" s="155"/>
      <c r="F188" s="155"/>
      <c r="G188" s="155"/>
      <c r="H188" s="155"/>
      <c r="I188" s="155"/>
      <c r="J188" s="155"/>
      <c r="K188" s="155"/>
      <c r="L188" s="155"/>
      <c r="M188" s="155"/>
      <c r="N188" s="155"/>
    </row>
    <row r="189" spans="1:14">
      <c r="A189" s="151"/>
      <c r="B189" s="152"/>
      <c r="C189" s="155"/>
      <c r="D189" s="155"/>
      <c r="E189" s="155"/>
      <c r="F189" s="155"/>
      <c r="G189" s="155"/>
      <c r="H189" s="155"/>
      <c r="I189" s="155"/>
      <c r="J189" s="155"/>
      <c r="K189" s="155"/>
      <c r="L189" s="155"/>
      <c r="M189" s="155"/>
      <c r="N189" s="155"/>
    </row>
    <row r="190" spans="1:14">
      <c r="A190" s="151"/>
      <c r="B190" s="152"/>
      <c r="C190" s="155"/>
      <c r="D190" s="155"/>
      <c r="E190" s="155"/>
      <c r="F190" s="155"/>
      <c r="G190" s="155"/>
      <c r="H190" s="155"/>
      <c r="I190" s="155"/>
      <c r="J190" s="155"/>
      <c r="K190" s="155"/>
      <c r="L190" s="155"/>
      <c r="M190" s="155"/>
      <c r="N190" s="155"/>
    </row>
    <row r="191" spans="1:14">
      <c r="A191" s="151"/>
      <c r="B191" s="152"/>
      <c r="C191" s="155"/>
      <c r="D191" s="155"/>
      <c r="E191" s="155"/>
      <c r="F191" s="155"/>
      <c r="G191" s="155"/>
      <c r="H191" s="155"/>
      <c r="I191" s="155"/>
      <c r="J191" s="155"/>
      <c r="K191" s="155"/>
      <c r="L191" s="155"/>
      <c r="M191" s="155"/>
      <c r="N191" s="155"/>
    </row>
    <row r="192" spans="1:14">
      <c r="A192" s="151"/>
      <c r="B192" s="152"/>
      <c r="C192" s="155"/>
      <c r="D192" s="155"/>
      <c r="E192" s="155"/>
      <c r="F192" s="155"/>
      <c r="G192" s="155"/>
      <c r="H192" s="155"/>
      <c r="I192" s="155"/>
      <c r="J192" s="155"/>
      <c r="K192" s="155"/>
      <c r="L192" s="155"/>
      <c r="M192" s="155"/>
      <c r="N192" s="155"/>
    </row>
    <row r="193" spans="1:14">
      <c r="A193" s="151"/>
      <c r="B193" s="152"/>
      <c r="C193" s="155"/>
      <c r="D193" s="155"/>
      <c r="E193" s="155"/>
      <c r="F193" s="155"/>
      <c r="G193" s="155"/>
      <c r="H193" s="155"/>
      <c r="I193" s="155"/>
      <c r="J193" s="155"/>
      <c r="K193" s="155"/>
      <c r="L193" s="155"/>
      <c r="M193" s="155"/>
      <c r="N193" s="155"/>
    </row>
    <row r="194" spans="1:14">
      <c r="A194" s="151"/>
      <c r="B194" s="152"/>
      <c r="C194" s="155"/>
      <c r="D194" s="155"/>
      <c r="E194" s="155"/>
      <c r="F194" s="155"/>
      <c r="G194" s="155"/>
      <c r="H194" s="155"/>
      <c r="I194" s="155"/>
      <c r="J194" s="155"/>
      <c r="K194" s="155"/>
      <c r="L194" s="155"/>
      <c r="M194" s="155"/>
      <c r="N194" s="155"/>
    </row>
    <row r="195" spans="1:14">
      <c r="A195" s="151"/>
      <c r="B195" s="152"/>
      <c r="C195" s="155"/>
      <c r="D195" s="155"/>
      <c r="E195" s="155"/>
      <c r="F195" s="155"/>
      <c r="G195" s="155"/>
      <c r="H195" s="155"/>
      <c r="I195" s="155"/>
      <c r="J195" s="155"/>
      <c r="K195" s="155"/>
      <c r="L195" s="155"/>
      <c r="M195" s="155"/>
      <c r="N195" s="155"/>
    </row>
    <row r="196" spans="1:14">
      <c r="A196" s="151"/>
      <c r="B196" s="152"/>
      <c r="C196" s="155"/>
      <c r="D196" s="155"/>
      <c r="E196" s="155"/>
      <c r="F196" s="155"/>
      <c r="G196" s="155"/>
      <c r="H196" s="155"/>
      <c r="I196" s="155"/>
      <c r="J196" s="155"/>
      <c r="K196" s="155"/>
      <c r="L196" s="155"/>
      <c r="M196" s="155"/>
      <c r="N196" s="155"/>
    </row>
    <row r="197" spans="1:14">
      <c r="A197" s="151"/>
      <c r="B197" s="152"/>
      <c r="C197" s="155"/>
      <c r="D197" s="155"/>
      <c r="E197" s="155"/>
      <c r="F197" s="155"/>
      <c r="G197" s="155"/>
      <c r="H197" s="155"/>
      <c r="I197" s="155"/>
      <c r="J197" s="155"/>
      <c r="K197" s="155"/>
      <c r="L197" s="155"/>
      <c r="M197" s="155"/>
      <c r="N197" s="155"/>
    </row>
    <row r="198" spans="1:14">
      <c r="A198" s="151"/>
      <c r="B198" s="152"/>
      <c r="C198" s="155"/>
      <c r="D198" s="155"/>
      <c r="E198" s="155"/>
      <c r="F198" s="155"/>
      <c r="G198" s="155"/>
      <c r="H198" s="155"/>
      <c r="I198" s="155"/>
      <c r="J198" s="155"/>
      <c r="K198" s="155"/>
      <c r="L198" s="155"/>
      <c r="M198" s="155"/>
      <c r="N198" s="155"/>
    </row>
    <row r="199" spans="1:14">
      <c r="A199" s="151"/>
      <c r="B199" s="152"/>
      <c r="C199" s="155"/>
      <c r="D199" s="155"/>
      <c r="E199" s="155"/>
      <c r="F199" s="155"/>
      <c r="G199" s="155"/>
      <c r="H199" s="155"/>
      <c r="I199" s="155"/>
      <c r="J199" s="155"/>
      <c r="K199" s="155"/>
      <c r="L199" s="155"/>
      <c r="M199" s="155"/>
      <c r="N199" s="155"/>
    </row>
    <row r="200" spans="1:14">
      <c r="A200" s="151"/>
      <c r="B200" s="152"/>
      <c r="C200" s="155"/>
      <c r="D200" s="155"/>
      <c r="E200" s="155"/>
      <c r="F200" s="155"/>
      <c r="G200" s="155"/>
      <c r="H200" s="155"/>
      <c r="I200" s="155"/>
      <c r="J200" s="155"/>
      <c r="K200" s="155"/>
      <c r="L200" s="155"/>
      <c r="M200" s="155"/>
      <c r="N200" s="155"/>
    </row>
    <row r="201" spans="1:14">
      <c r="A201" s="151"/>
      <c r="B201" s="152"/>
      <c r="C201" s="155"/>
      <c r="D201" s="155"/>
      <c r="E201" s="155"/>
      <c r="F201" s="155"/>
      <c r="G201" s="155"/>
      <c r="H201" s="155"/>
      <c r="I201" s="155"/>
      <c r="J201" s="155"/>
      <c r="K201" s="155"/>
      <c r="L201" s="155"/>
      <c r="M201" s="155"/>
      <c r="N201" s="155"/>
    </row>
    <row r="202" spans="1:14">
      <c r="A202" s="151"/>
      <c r="B202" s="152"/>
      <c r="C202" s="155"/>
      <c r="D202" s="155"/>
      <c r="E202" s="155"/>
      <c r="F202" s="155"/>
      <c r="G202" s="155"/>
      <c r="H202" s="155"/>
      <c r="I202" s="155"/>
      <c r="J202" s="155"/>
      <c r="K202" s="155"/>
      <c r="L202" s="155"/>
      <c r="M202" s="155"/>
      <c r="N202" s="155"/>
    </row>
    <row r="203" spans="1:14">
      <c r="A203" s="151"/>
      <c r="B203" s="152"/>
      <c r="C203" s="155"/>
      <c r="D203" s="155"/>
      <c r="E203" s="155"/>
      <c r="F203" s="155"/>
      <c r="G203" s="155"/>
      <c r="H203" s="155"/>
      <c r="I203" s="155"/>
      <c r="J203" s="155"/>
      <c r="K203" s="155"/>
      <c r="L203" s="155"/>
      <c r="M203" s="155"/>
      <c r="N203" s="155"/>
    </row>
    <row r="204" spans="1:14">
      <c r="A204" s="151"/>
      <c r="B204" s="152"/>
      <c r="C204" s="155"/>
      <c r="D204" s="155"/>
      <c r="E204" s="155"/>
      <c r="F204" s="155"/>
      <c r="G204" s="155"/>
      <c r="H204" s="155"/>
      <c r="I204" s="155"/>
      <c r="J204" s="155"/>
      <c r="K204" s="155"/>
      <c r="L204" s="155"/>
      <c r="M204" s="155"/>
      <c r="N204" s="155"/>
    </row>
    <row r="205" spans="1:14">
      <c r="A205" s="151"/>
      <c r="B205" s="152"/>
      <c r="C205" s="155"/>
      <c r="D205" s="155"/>
      <c r="E205" s="155"/>
      <c r="F205" s="155"/>
      <c r="G205" s="155"/>
      <c r="H205" s="155"/>
      <c r="I205" s="155"/>
      <c r="J205" s="155"/>
      <c r="K205" s="155"/>
      <c r="L205" s="155"/>
      <c r="M205" s="155"/>
      <c r="N205" s="155"/>
    </row>
    <row r="206" spans="1:14">
      <c r="A206" s="151"/>
      <c r="B206" s="152"/>
      <c r="C206" s="155"/>
      <c r="D206" s="155"/>
      <c r="E206" s="155"/>
      <c r="F206" s="155"/>
      <c r="G206" s="155"/>
      <c r="H206" s="155"/>
      <c r="I206" s="155"/>
      <c r="J206" s="155"/>
      <c r="K206" s="155"/>
      <c r="L206" s="155"/>
      <c r="M206" s="155"/>
      <c r="N206" s="155"/>
    </row>
    <row r="207" spans="1:14">
      <c r="A207" s="151"/>
      <c r="B207" s="152"/>
      <c r="C207" s="155"/>
      <c r="D207" s="155"/>
      <c r="E207" s="155"/>
      <c r="F207" s="155"/>
      <c r="G207" s="155"/>
      <c r="H207" s="155"/>
      <c r="I207" s="155"/>
      <c r="J207" s="155"/>
      <c r="K207" s="155"/>
      <c r="L207" s="155"/>
      <c r="M207" s="155"/>
      <c r="N207" s="155"/>
    </row>
    <row r="208" spans="1:14">
      <c r="A208" s="151"/>
      <c r="B208" s="152"/>
      <c r="C208" s="155"/>
      <c r="D208" s="155"/>
      <c r="E208" s="155"/>
      <c r="F208" s="155"/>
      <c r="G208" s="155"/>
      <c r="H208" s="155"/>
      <c r="I208" s="155"/>
      <c r="J208" s="155"/>
      <c r="K208" s="155"/>
      <c r="L208" s="155"/>
      <c r="M208" s="155"/>
      <c r="N208" s="155"/>
    </row>
    <row r="209" spans="1:14">
      <c r="A209" s="151"/>
      <c r="B209" s="152"/>
      <c r="C209" s="155"/>
      <c r="D209" s="155"/>
      <c r="E209" s="155"/>
      <c r="F209" s="155"/>
      <c r="G209" s="155"/>
      <c r="H209" s="155"/>
      <c r="I209" s="155"/>
      <c r="J209" s="155"/>
      <c r="K209" s="155"/>
      <c r="L209" s="155"/>
      <c r="M209" s="155"/>
      <c r="N209" s="155"/>
    </row>
    <row r="210" spans="1:14">
      <c r="A210" s="151"/>
      <c r="B210" s="152"/>
      <c r="C210" s="155"/>
      <c r="D210" s="155"/>
      <c r="E210" s="155"/>
      <c r="F210" s="155"/>
      <c r="G210" s="155"/>
      <c r="H210" s="155"/>
      <c r="I210" s="155"/>
      <c r="J210" s="155"/>
      <c r="K210" s="155"/>
      <c r="L210" s="155"/>
      <c r="M210" s="155"/>
      <c r="N210" s="155"/>
    </row>
    <row r="211" spans="1:14">
      <c r="A211" s="151"/>
      <c r="B211" s="152"/>
      <c r="C211" s="155"/>
      <c r="D211" s="155"/>
      <c r="E211" s="155"/>
      <c r="F211" s="155"/>
      <c r="G211" s="155"/>
      <c r="H211" s="155"/>
      <c r="I211" s="155"/>
      <c r="J211" s="155"/>
      <c r="K211" s="155"/>
      <c r="L211" s="155"/>
      <c r="M211" s="155"/>
      <c r="N211" s="155"/>
    </row>
    <row r="212" spans="1:14">
      <c r="A212" s="151"/>
      <c r="B212" s="152"/>
      <c r="C212" s="155"/>
      <c r="D212" s="155"/>
      <c r="E212" s="155"/>
      <c r="F212" s="155"/>
      <c r="G212" s="155"/>
      <c r="H212" s="155"/>
      <c r="I212" s="155"/>
      <c r="J212" s="155"/>
      <c r="K212" s="155"/>
      <c r="L212" s="155"/>
      <c r="M212" s="155"/>
      <c r="N212" s="155"/>
    </row>
    <row r="213" spans="1:14">
      <c r="A213" s="151"/>
      <c r="B213" s="152"/>
      <c r="C213" s="155"/>
      <c r="D213" s="155"/>
      <c r="E213" s="155"/>
      <c r="F213" s="155"/>
      <c r="G213" s="155"/>
      <c r="H213" s="155"/>
      <c r="I213" s="155"/>
      <c r="J213" s="155"/>
      <c r="K213" s="155"/>
      <c r="L213" s="155"/>
      <c r="M213" s="155"/>
      <c r="N213" s="155"/>
    </row>
    <row r="214" spans="1:14">
      <c r="A214" s="151"/>
      <c r="B214" s="152"/>
      <c r="C214" s="155"/>
      <c r="D214" s="155"/>
      <c r="E214" s="155"/>
      <c r="F214" s="155"/>
      <c r="G214" s="155"/>
      <c r="H214" s="155"/>
      <c r="I214" s="155"/>
      <c r="J214" s="155"/>
      <c r="K214" s="155"/>
      <c r="L214" s="155"/>
      <c r="M214" s="155"/>
      <c r="N214" s="155"/>
    </row>
    <row r="215" spans="1:14">
      <c r="A215" s="151"/>
      <c r="B215" s="152"/>
      <c r="C215" s="155"/>
      <c r="D215" s="155"/>
      <c r="E215" s="155"/>
      <c r="F215" s="155"/>
      <c r="G215" s="155"/>
      <c r="H215" s="155"/>
      <c r="I215" s="155"/>
      <c r="J215" s="155"/>
      <c r="K215" s="155"/>
      <c r="L215" s="155"/>
      <c r="M215" s="155"/>
      <c r="N215" s="155"/>
    </row>
    <row r="216" spans="1:14">
      <c r="A216" s="151"/>
      <c r="B216" s="152"/>
      <c r="C216" s="155"/>
      <c r="D216" s="155"/>
      <c r="E216" s="155"/>
      <c r="F216" s="155"/>
      <c r="G216" s="155"/>
      <c r="H216" s="155"/>
      <c r="I216" s="155"/>
      <c r="J216" s="155"/>
      <c r="K216" s="155"/>
      <c r="L216" s="155"/>
      <c r="M216" s="155"/>
      <c r="N216" s="155"/>
    </row>
    <row r="217" spans="1:14">
      <c r="A217" s="151"/>
      <c r="B217" s="152"/>
      <c r="C217" s="155"/>
      <c r="D217" s="155"/>
      <c r="E217" s="155"/>
      <c r="F217" s="155"/>
      <c r="G217" s="155"/>
      <c r="H217" s="155"/>
      <c r="I217" s="155"/>
      <c r="J217" s="155"/>
      <c r="K217" s="155"/>
      <c r="L217" s="155"/>
      <c r="M217" s="155"/>
      <c r="N217" s="155"/>
    </row>
    <row r="218" spans="1:14">
      <c r="A218" s="151"/>
      <c r="B218" s="152"/>
      <c r="C218" s="155"/>
      <c r="D218" s="155"/>
      <c r="E218" s="155"/>
      <c r="F218" s="155"/>
      <c r="G218" s="155"/>
      <c r="H218" s="155"/>
      <c r="I218" s="155"/>
      <c r="J218" s="155"/>
      <c r="K218" s="155"/>
      <c r="L218" s="155"/>
      <c r="M218" s="155"/>
      <c r="N218" s="155"/>
    </row>
    <row r="219" spans="1:14">
      <c r="A219" s="151"/>
      <c r="B219" s="152"/>
      <c r="C219" s="155"/>
      <c r="D219" s="155"/>
      <c r="E219" s="155"/>
      <c r="F219" s="155"/>
      <c r="G219" s="155"/>
      <c r="H219" s="155"/>
      <c r="I219" s="155"/>
      <c r="J219" s="155"/>
      <c r="K219" s="155"/>
      <c r="L219" s="155"/>
      <c r="M219" s="155"/>
      <c r="N219" s="155"/>
    </row>
    <row r="220" spans="1:14">
      <c r="A220" s="151"/>
      <c r="B220" s="152"/>
      <c r="C220" s="155"/>
      <c r="D220" s="155"/>
      <c r="E220" s="155"/>
      <c r="F220" s="155"/>
      <c r="G220" s="155"/>
      <c r="H220" s="155"/>
      <c r="I220" s="155"/>
      <c r="J220" s="155"/>
      <c r="K220" s="155"/>
      <c r="L220" s="155"/>
      <c r="M220" s="155"/>
      <c r="N220" s="155"/>
    </row>
    <row r="221" spans="1:14">
      <c r="A221" s="151"/>
      <c r="B221" s="152"/>
      <c r="C221" s="155"/>
      <c r="D221" s="155"/>
      <c r="E221" s="155"/>
      <c r="F221" s="155"/>
      <c r="G221" s="155"/>
      <c r="H221" s="155"/>
      <c r="I221" s="155"/>
      <c r="J221" s="155"/>
      <c r="K221" s="155"/>
      <c r="L221" s="155"/>
      <c r="M221" s="155"/>
      <c r="N221" s="155"/>
    </row>
    <row r="222" spans="1:14">
      <c r="A222" s="151"/>
      <c r="B222" s="152"/>
      <c r="C222" s="155"/>
      <c r="D222" s="155"/>
      <c r="E222" s="155"/>
      <c r="F222" s="155"/>
      <c r="G222" s="155"/>
      <c r="H222" s="155"/>
      <c r="I222" s="155"/>
      <c r="J222" s="155"/>
      <c r="K222" s="155"/>
      <c r="L222" s="155"/>
      <c r="M222" s="155"/>
      <c r="N222" s="155"/>
    </row>
    <row r="223" spans="1:14">
      <c r="A223" s="151"/>
      <c r="B223" s="152"/>
      <c r="C223" s="155"/>
      <c r="D223" s="155"/>
      <c r="E223" s="155"/>
      <c r="F223" s="155"/>
      <c r="G223" s="155"/>
      <c r="H223" s="155"/>
      <c r="I223" s="155"/>
      <c r="J223" s="155"/>
      <c r="K223" s="155"/>
      <c r="L223" s="155"/>
      <c r="M223" s="155"/>
      <c r="N223" s="155"/>
    </row>
    <row r="224" spans="1:14">
      <c r="A224" s="151"/>
      <c r="B224" s="152"/>
      <c r="C224" s="155"/>
      <c r="D224" s="155"/>
      <c r="E224" s="155"/>
      <c r="F224" s="155"/>
      <c r="G224" s="155"/>
      <c r="H224" s="155"/>
      <c r="I224" s="155"/>
      <c r="J224" s="155"/>
      <c r="K224" s="155"/>
      <c r="L224" s="155"/>
      <c r="M224" s="155"/>
      <c r="N224" s="155"/>
    </row>
    <row r="225" spans="1:14">
      <c r="A225" s="151"/>
      <c r="B225" s="152"/>
      <c r="C225" s="155"/>
      <c r="D225" s="155"/>
      <c r="E225" s="155"/>
      <c r="F225" s="155"/>
      <c r="G225" s="155"/>
      <c r="H225" s="155"/>
      <c r="I225" s="155"/>
      <c r="J225" s="155"/>
      <c r="K225" s="155"/>
      <c r="L225" s="155"/>
      <c r="M225" s="155"/>
      <c r="N225" s="155"/>
    </row>
    <row r="226" spans="1:14">
      <c r="A226" s="151"/>
      <c r="B226" s="152"/>
      <c r="C226" s="155"/>
      <c r="D226" s="155"/>
      <c r="E226" s="155"/>
      <c r="F226" s="155"/>
      <c r="G226" s="155"/>
      <c r="H226" s="155"/>
      <c r="I226" s="155"/>
      <c r="J226" s="155"/>
      <c r="K226" s="155"/>
      <c r="L226" s="155"/>
      <c r="M226" s="155"/>
      <c r="N226" s="155"/>
    </row>
    <row r="227" spans="1:14">
      <c r="A227" s="151"/>
      <c r="B227" s="152"/>
      <c r="C227" s="155"/>
      <c r="D227" s="155"/>
      <c r="E227" s="155"/>
      <c r="F227" s="155"/>
      <c r="G227" s="155"/>
      <c r="H227" s="155"/>
      <c r="I227" s="155"/>
      <c r="J227" s="155"/>
      <c r="K227" s="155"/>
      <c r="L227" s="155"/>
      <c r="M227" s="155"/>
      <c r="N227" s="155"/>
    </row>
    <row r="228" spans="1:14">
      <c r="A228" s="151"/>
      <c r="B228" s="152"/>
      <c r="C228" s="155"/>
      <c r="D228" s="155"/>
      <c r="E228" s="155"/>
      <c r="F228" s="155"/>
      <c r="G228" s="155"/>
      <c r="H228" s="155"/>
      <c r="I228" s="155"/>
      <c r="J228" s="155"/>
      <c r="K228" s="155"/>
      <c r="L228" s="155"/>
      <c r="M228" s="155"/>
      <c r="N228" s="155"/>
    </row>
    <row r="229" spans="1:14">
      <c r="A229" s="151"/>
      <c r="B229" s="152"/>
      <c r="C229" s="155"/>
      <c r="D229" s="155"/>
      <c r="E229" s="155"/>
      <c r="F229" s="155"/>
      <c r="G229" s="155"/>
      <c r="H229" s="155"/>
      <c r="I229" s="155"/>
      <c r="J229" s="155"/>
      <c r="K229" s="155"/>
      <c r="L229" s="155"/>
      <c r="M229" s="155"/>
      <c r="N229" s="155"/>
    </row>
    <row r="230" spans="1:14">
      <c r="A230" s="151"/>
      <c r="B230" s="152"/>
      <c r="C230" s="155"/>
      <c r="D230" s="155"/>
      <c r="E230" s="155"/>
      <c r="F230" s="155"/>
      <c r="G230" s="155"/>
      <c r="H230" s="155"/>
      <c r="I230" s="155"/>
      <c r="J230" s="155"/>
      <c r="K230" s="155"/>
      <c r="L230" s="155"/>
      <c r="M230" s="155"/>
      <c r="N230" s="155"/>
    </row>
    <row r="231" spans="1:14">
      <c r="A231" s="151"/>
      <c r="B231" s="152"/>
      <c r="C231" s="155"/>
      <c r="D231" s="155"/>
      <c r="E231" s="155"/>
      <c r="F231" s="155"/>
      <c r="G231" s="155"/>
      <c r="H231" s="155"/>
      <c r="I231" s="155"/>
      <c r="J231" s="155"/>
      <c r="K231" s="155"/>
      <c r="L231" s="155"/>
      <c r="M231" s="155"/>
      <c r="N231" s="155"/>
    </row>
    <row r="232" spans="1:14">
      <c r="A232" s="151"/>
      <c r="B232" s="152"/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</row>
    <row r="233" spans="1:14">
      <c r="A233" s="151"/>
      <c r="B233" s="152"/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</row>
    <row r="234" spans="1:14">
      <c r="A234" s="151"/>
      <c r="B234" s="152"/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</row>
    <row r="235" spans="1:14">
      <c r="A235" s="151"/>
      <c r="B235" s="152"/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</row>
    <row r="236" spans="1:14">
      <c r="A236" s="151"/>
      <c r="B236" s="152"/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</row>
    <row r="237" spans="1:14">
      <c r="A237" s="151"/>
      <c r="B237" s="152"/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</row>
    <row r="238" spans="1:14">
      <c r="A238" s="151"/>
      <c r="B238" s="152"/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</row>
    <row r="239" spans="1:14">
      <c r="A239" s="151"/>
      <c r="B239" s="152"/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</row>
    <row r="240" spans="1:14">
      <c r="A240" s="151"/>
      <c r="B240" s="152"/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</row>
    <row r="241" spans="1:14">
      <c r="A241" s="151"/>
      <c r="B241" s="152"/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</row>
    <row r="242" spans="1:14">
      <c r="A242" s="151"/>
      <c r="B242" s="152"/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</row>
    <row r="243" spans="1:14">
      <c r="A243" s="151"/>
      <c r="B243" s="152"/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</row>
    <row r="244" spans="1:14">
      <c r="A244" s="151"/>
      <c r="B244" s="152"/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</row>
    <row r="245" spans="1:14">
      <c r="A245" s="151"/>
      <c r="B245" s="152"/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</row>
    <row r="246" spans="1:14">
      <c r="A246" s="151"/>
      <c r="B246" s="152"/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</row>
    <row r="247" spans="1:14">
      <c r="A247" s="151"/>
      <c r="B247" s="152"/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</row>
    <row r="248" spans="1:14">
      <c r="A248" s="151"/>
      <c r="B248" s="152"/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</row>
    <row r="249" spans="1:14">
      <c r="A249" s="151"/>
      <c r="B249" s="152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</row>
    <row r="250" spans="1:14">
      <c r="A250" s="151"/>
      <c r="B250" s="152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</row>
    <row r="251" spans="1:14">
      <c r="A251" s="151"/>
      <c r="B251" s="152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</row>
    <row r="252" spans="1:14">
      <c r="A252" s="151"/>
      <c r="B252" s="152"/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</row>
    <row r="253" spans="1:14">
      <c r="A253" s="151"/>
      <c r="B253" s="152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</row>
    <row r="254" spans="1:14">
      <c r="A254" s="151"/>
      <c r="B254" s="152"/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</row>
    <row r="255" spans="1:14">
      <c r="A255" s="151"/>
      <c r="B255" s="152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</row>
    <row r="256" spans="1:14">
      <c r="A256" s="151"/>
      <c r="B256" s="152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</row>
    <row r="257" spans="1:14">
      <c r="A257" s="151"/>
      <c r="B257" s="152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</row>
    <row r="258" spans="1:14">
      <c r="A258" s="151"/>
      <c r="B258" s="152"/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</row>
    <row r="259" spans="1:14">
      <c r="A259" s="151"/>
      <c r="B259" s="152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</row>
    <row r="260" spans="1:14">
      <c r="A260" s="151"/>
      <c r="B260" s="152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</row>
    <row r="261" spans="1:14">
      <c r="A261" s="151"/>
      <c r="B261" s="152"/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</row>
    <row r="262" spans="1:14">
      <c r="A262" s="151"/>
      <c r="B262" s="152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</row>
    <row r="263" spans="1:14">
      <c r="A263" s="151"/>
      <c r="B263" s="152"/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</row>
    <row r="264" spans="1:14">
      <c r="A264" s="151"/>
      <c r="B264" s="152"/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</row>
    <row r="265" spans="1:14">
      <c r="A265" s="151"/>
      <c r="B265" s="152"/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</row>
    <row r="266" spans="1:14">
      <c r="A266" s="151"/>
      <c r="B266" s="152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</row>
    <row r="267" spans="1:14">
      <c r="A267" s="151"/>
      <c r="B267" s="152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</row>
    <row r="268" spans="1:14">
      <c r="A268" s="151"/>
      <c r="B268" s="152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</row>
    <row r="269" spans="1:14">
      <c r="A269" s="151"/>
      <c r="B269" s="152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</row>
    <row r="270" spans="1:14">
      <c r="A270" s="151"/>
      <c r="B270" s="152"/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</row>
    <row r="271" spans="1:14">
      <c r="A271" s="151"/>
      <c r="B271" s="152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</row>
    <row r="272" spans="1:14">
      <c r="A272" s="151"/>
      <c r="B272" s="152"/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</row>
    <row r="273" spans="1:14">
      <c r="A273" s="151"/>
      <c r="B273" s="152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</row>
    <row r="274" spans="1:14">
      <c r="A274" s="151"/>
      <c r="B274" s="152"/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</row>
    <row r="275" spans="1:14">
      <c r="A275" s="151"/>
      <c r="B275" s="152"/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</row>
    <row r="276" spans="1:14">
      <c r="A276" s="151"/>
      <c r="B276" s="152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</row>
    <row r="277" spans="1:14">
      <c r="A277" s="151"/>
      <c r="B277" s="152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</row>
    <row r="278" spans="1:14">
      <c r="A278" s="151"/>
      <c r="B278" s="152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</row>
    <row r="279" spans="1:14">
      <c r="A279" s="151"/>
      <c r="B279" s="152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</row>
    <row r="280" spans="1:14">
      <c r="A280" s="151"/>
      <c r="B280" s="152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</row>
    <row r="281" spans="1:14">
      <c r="A281" s="151"/>
      <c r="B281" s="152"/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</row>
    <row r="282" spans="1:14">
      <c r="A282" s="151"/>
      <c r="B282" s="152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</row>
    <row r="283" spans="1:14">
      <c r="A283" s="151"/>
      <c r="B283" s="152"/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</row>
    <row r="284" spans="1:14">
      <c r="A284" s="151"/>
      <c r="B284" s="152"/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</row>
    <row r="285" spans="1:14">
      <c r="A285" s="151"/>
      <c r="B285" s="152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</row>
    <row r="286" spans="1:14">
      <c r="A286" s="151"/>
      <c r="B286" s="152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</row>
    <row r="287" spans="1:14">
      <c r="A287" s="151"/>
      <c r="B287" s="152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</row>
    <row r="288" spans="1:14">
      <c r="A288" s="151"/>
      <c r="B288" s="152"/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</row>
    <row r="289" spans="1:14">
      <c r="A289" s="151"/>
      <c r="B289" s="152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</row>
    <row r="290" spans="1:14">
      <c r="A290" s="151"/>
      <c r="B290" s="152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</row>
    <row r="291" spans="1:14">
      <c r="A291" s="151"/>
      <c r="B291" s="152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</row>
    <row r="292" spans="1:14">
      <c r="A292" s="151"/>
      <c r="B292" s="152"/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</row>
    <row r="293" spans="1:14">
      <c r="A293" s="151"/>
      <c r="B293" s="152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</row>
    <row r="294" spans="1:14">
      <c r="A294" s="151"/>
      <c r="B294" s="152"/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</row>
    <row r="295" spans="1:14">
      <c r="A295" s="151"/>
      <c r="B295" s="152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</row>
    <row r="296" spans="1:14">
      <c r="A296" s="151"/>
      <c r="B296" s="152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</row>
    <row r="297" spans="1:14">
      <c r="A297" s="151"/>
      <c r="B297" s="152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</row>
    <row r="298" spans="1:14">
      <c r="A298" s="151"/>
      <c r="B298" s="152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</row>
    <row r="299" spans="1:14">
      <c r="A299" s="151"/>
      <c r="B299" s="152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</row>
    <row r="300" spans="1:14">
      <c r="A300" s="151"/>
      <c r="B300" s="152"/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</row>
    <row r="301" spans="1:14">
      <c r="A301" s="151"/>
      <c r="B301" s="152"/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</row>
    <row r="302" spans="1:14">
      <c r="A302" s="151"/>
      <c r="B302" s="152"/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</row>
    <row r="303" spans="1:14">
      <c r="A303" s="151"/>
      <c r="B303" s="152"/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</row>
    <row r="304" spans="1:14">
      <c r="A304" s="151"/>
      <c r="B304" s="152"/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</row>
    <row r="305" spans="1:14">
      <c r="A305" s="151"/>
      <c r="B305" s="152"/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</row>
    <row r="306" spans="1:14">
      <c r="A306" s="151"/>
      <c r="B306" s="152"/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</row>
    <row r="307" spans="1:14">
      <c r="A307" s="151"/>
      <c r="B307" s="152"/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</row>
    <row r="308" spans="1:14">
      <c r="A308" s="151"/>
      <c r="B308" s="152"/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</row>
    <row r="309" spans="1:14">
      <c r="A309" s="151"/>
      <c r="B309" s="152"/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</row>
    <row r="310" spans="1:14">
      <c r="A310" s="151"/>
      <c r="B310" s="152"/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</row>
    <row r="311" spans="1:14">
      <c r="A311" s="151"/>
      <c r="B311" s="152"/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</row>
    <row r="312" spans="1:14">
      <c r="A312" s="151"/>
      <c r="B312" s="152"/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</row>
    <row r="313" spans="1:14">
      <c r="A313" s="151"/>
      <c r="B313" s="152"/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</row>
    <row r="314" spans="1:14">
      <c r="A314" s="151"/>
      <c r="B314" s="152"/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</row>
    <row r="315" spans="1:14">
      <c r="A315" s="151"/>
      <c r="B315" s="152"/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</row>
    <row r="316" spans="1:14">
      <c r="A316" s="151"/>
      <c r="B316" s="152"/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</row>
    <row r="317" spans="1:14">
      <c r="A317" s="151"/>
      <c r="B317" s="152"/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</row>
    <row r="318" spans="1:14">
      <c r="A318" s="151"/>
      <c r="B318" s="152"/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</row>
    <row r="319" spans="1:14">
      <c r="A319" s="151"/>
      <c r="B319" s="152"/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</row>
    <row r="320" spans="1:14">
      <c r="A320" s="151"/>
      <c r="B320" s="152"/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</row>
    <row r="321" spans="1:14">
      <c r="A321" s="151"/>
      <c r="B321" s="152"/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</row>
    <row r="322" spans="1:14">
      <c r="A322" s="151"/>
      <c r="B322" s="152"/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</row>
    <row r="323" spans="1:14">
      <c r="A323" s="151"/>
      <c r="B323" s="152"/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</row>
    <row r="324" spans="1:14">
      <c r="A324" s="151"/>
      <c r="B324" s="152"/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</row>
    <row r="325" spans="1:14">
      <c r="A325" s="151"/>
      <c r="B325" s="152"/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</row>
    <row r="326" spans="1:14">
      <c r="A326" s="151"/>
      <c r="B326" s="152"/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</row>
    <row r="327" spans="1:14">
      <c r="A327" s="151"/>
      <c r="B327" s="152"/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</row>
    <row r="328" spans="1:14">
      <c r="A328" s="151"/>
      <c r="B328" s="152"/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</row>
    <row r="329" spans="1:14">
      <c r="A329" s="151"/>
      <c r="B329" s="152"/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</row>
    <row r="330" spans="1:14">
      <c r="A330" s="151"/>
      <c r="B330" s="152"/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</row>
    <row r="331" spans="1:14">
      <c r="A331" s="151"/>
      <c r="B331" s="152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</row>
    <row r="332" spans="1:14">
      <c r="A332" s="151"/>
      <c r="B332" s="152"/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</row>
  </sheetData>
  <mergeCells count="2">
    <mergeCell ref="A1:N1"/>
    <mergeCell ref="D2:E2"/>
  </mergeCells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77"/>
  <sheetViews>
    <sheetView topLeftCell="B1" workbookViewId="0">
      <selection activeCell="B1" sqref="B1"/>
    </sheetView>
  </sheetViews>
  <sheetFormatPr defaultColWidth="9.140625" defaultRowHeight="12"/>
  <cols>
    <col min="1" max="1" width="9.140625" style="202" hidden="1" customWidth="1"/>
    <col min="2" max="2" width="12.42578125" style="202" customWidth="1"/>
    <col min="3" max="3" width="35.5703125" style="13" customWidth="1"/>
    <col min="4" max="4" width="20.7109375" style="206" customWidth="1"/>
    <col min="5" max="5" width="16" style="207" hidden="1" customWidth="1"/>
    <col min="6" max="7" width="14.7109375" style="207" hidden="1" customWidth="1"/>
    <col min="8" max="8" width="20.7109375" style="202" customWidth="1"/>
    <col min="9" max="9" width="16" style="202" hidden="1" customWidth="1"/>
    <col min="10" max="10" width="15.85546875" style="202" hidden="1" customWidth="1"/>
    <col min="11" max="11" width="14.7109375" style="202" hidden="1" customWidth="1"/>
    <col min="12" max="12" width="20.7109375" style="202" customWidth="1"/>
    <col min="13" max="14" width="16" style="202" hidden="1" customWidth="1"/>
    <col min="15" max="15" width="14.7109375" style="202" hidden="1" customWidth="1"/>
    <col min="16" max="16" width="13.42578125" style="202" bestFit="1" customWidth="1"/>
    <col min="17" max="16384" width="9.140625" style="202"/>
  </cols>
  <sheetData>
    <row r="1" spans="1:15" ht="33" customHeight="1">
      <c r="B1" s="306" t="s">
        <v>347</v>
      </c>
    </row>
    <row r="2" spans="1:15" ht="33" customHeight="1" thickBot="1">
      <c r="B2" s="305" t="s">
        <v>348</v>
      </c>
      <c r="C2" s="205"/>
      <c r="K2" s="208"/>
      <c r="L2" s="208"/>
      <c r="M2" s="208"/>
      <c r="N2" s="208"/>
    </row>
    <row r="3" spans="1:15" ht="27" customHeight="1" thickBot="1">
      <c r="A3" s="202" t="s">
        <v>35</v>
      </c>
      <c r="B3" s="209" t="s">
        <v>349</v>
      </c>
      <c r="C3" s="210" t="s">
        <v>16</v>
      </c>
      <c r="D3" s="211" t="s">
        <v>145</v>
      </c>
      <c r="E3" s="212" t="s">
        <v>272</v>
      </c>
      <c r="F3" s="213" t="s">
        <v>273</v>
      </c>
      <c r="G3" s="214" t="s">
        <v>274</v>
      </c>
      <c r="H3" s="215" t="s">
        <v>275</v>
      </c>
      <c r="I3" s="212" t="s">
        <v>272</v>
      </c>
      <c r="J3" s="213" t="s">
        <v>273</v>
      </c>
      <c r="K3" s="214" t="s">
        <v>274</v>
      </c>
      <c r="L3" s="216" t="s">
        <v>276</v>
      </c>
      <c r="M3" s="212" t="s">
        <v>272</v>
      </c>
      <c r="N3" s="213" t="s">
        <v>273</v>
      </c>
      <c r="O3" s="214" t="s">
        <v>274</v>
      </c>
    </row>
    <row r="4" spans="1:15" ht="24" customHeight="1">
      <c r="A4" s="202">
        <f t="shared" ref="A4:A13" si="0">LEN(B4)</f>
        <v>1</v>
      </c>
      <c r="B4" s="304" t="s">
        <v>39</v>
      </c>
      <c r="C4" s="217" t="s">
        <v>40</v>
      </c>
      <c r="D4" s="220">
        <f t="shared" ref="D4:O4" si="1">D5+D15+D48</f>
        <v>62853000</v>
      </c>
      <c r="E4" s="218">
        <f t="shared" si="1"/>
        <v>52920000</v>
      </c>
      <c r="F4" s="219">
        <f t="shared" si="1"/>
        <v>9083000</v>
      </c>
      <c r="G4" s="220">
        <f t="shared" si="1"/>
        <v>850000</v>
      </c>
      <c r="H4" s="220">
        <f t="shared" si="1"/>
        <v>65220250</v>
      </c>
      <c r="I4" s="218">
        <f t="shared" si="1"/>
        <v>53435000</v>
      </c>
      <c r="J4" s="219">
        <f t="shared" si="1"/>
        <v>10585250</v>
      </c>
      <c r="K4" s="220">
        <f t="shared" si="1"/>
        <v>1200000</v>
      </c>
      <c r="L4" s="220">
        <f t="shared" si="1"/>
        <v>67885250</v>
      </c>
      <c r="M4" s="218">
        <f t="shared" si="1"/>
        <v>54170000</v>
      </c>
      <c r="N4" s="219">
        <f t="shared" si="1"/>
        <v>13365250</v>
      </c>
      <c r="O4" s="220">
        <f t="shared" si="1"/>
        <v>350000</v>
      </c>
    </row>
    <row r="5" spans="1:15" ht="24" customHeight="1">
      <c r="A5" s="202">
        <f t="shared" si="0"/>
        <v>2</v>
      </c>
      <c r="B5" s="303" t="s">
        <v>41</v>
      </c>
      <c r="C5" s="221" t="s">
        <v>18</v>
      </c>
      <c r="D5" s="224">
        <f t="shared" ref="D5:O5" si="2">D6+D10+D12</f>
        <v>38070000</v>
      </c>
      <c r="E5" s="222">
        <f t="shared" si="2"/>
        <v>33130255</v>
      </c>
      <c r="F5" s="223">
        <f t="shared" si="2"/>
        <v>4939745</v>
      </c>
      <c r="G5" s="224">
        <f t="shared" si="2"/>
        <v>0</v>
      </c>
      <c r="H5" s="224">
        <f t="shared" si="2"/>
        <v>39230000</v>
      </c>
      <c r="I5" s="222">
        <f t="shared" si="2"/>
        <v>34080000</v>
      </c>
      <c r="J5" s="223">
        <f t="shared" si="2"/>
        <v>5150000</v>
      </c>
      <c r="K5" s="224">
        <f t="shared" si="2"/>
        <v>0</v>
      </c>
      <c r="L5" s="224">
        <f t="shared" si="2"/>
        <v>40259750</v>
      </c>
      <c r="M5" s="222">
        <f t="shared" si="2"/>
        <v>34739750</v>
      </c>
      <c r="N5" s="223">
        <f t="shared" si="2"/>
        <v>5520000</v>
      </c>
      <c r="O5" s="224">
        <f t="shared" si="2"/>
        <v>0</v>
      </c>
    </row>
    <row r="6" spans="1:15" ht="24" customHeight="1">
      <c r="A6" s="202">
        <f t="shared" si="0"/>
        <v>3</v>
      </c>
      <c r="B6" s="225" t="s">
        <v>42</v>
      </c>
      <c r="C6" s="226" t="s">
        <v>19</v>
      </c>
      <c r="D6" s="229">
        <f t="shared" ref="D6:O6" si="3">SUM(D7:D9)</f>
        <v>31520000</v>
      </c>
      <c r="E6" s="227">
        <f t="shared" si="3"/>
        <v>27319200</v>
      </c>
      <c r="F6" s="228">
        <f t="shared" si="3"/>
        <v>4200800</v>
      </c>
      <c r="G6" s="229">
        <f t="shared" si="3"/>
        <v>0</v>
      </c>
      <c r="H6" s="229">
        <f t="shared" si="3"/>
        <v>32470000</v>
      </c>
      <c r="I6" s="227">
        <f t="shared" si="3"/>
        <v>28130000</v>
      </c>
      <c r="J6" s="228">
        <f t="shared" si="3"/>
        <v>4340000</v>
      </c>
      <c r="K6" s="229">
        <f t="shared" si="3"/>
        <v>0</v>
      </c>
      <c r="L6" s="229">
        <f t="shared" si="3"/>
        <v>33319750</v>
      </c>
      <c r="M6" s="227">
        <f t="shared" si="3"/>
        <v>28679750</v>
      </c>
      <c r="N6" s="228">
        <f t="shared" si="3"/>
        <v>4640000</v>
      </c>
      <c r="O6" s="229">
        <f t="shared" si="3"/>
        <v>0</v>
      </c>
    </row>
    <row r="7" spans="1:15" ht="12.95" customHeight="1">
      <c r="A7" s="202">
        <f t="shared" si="0"/>
        <v>4</v>
      </c>
      <c r="B7" s="230" t="s">
        <v>277</v>
      </c>
      <c r="C7" s="231" t="s">
        <v>176</v>
      </c>
      <c r="D7" s="238">
        <v>27500000</v>
      </c>
      <c r="E7" s="232">
        <f>22989200+350000+80000</f>
        <v>23419200</v>
      </c>
      <c r="F7" s="233">
        <f>4070800-80000+90000</f>
        <v>4080800</v>
      </c>
      <c r="G7" s="234"/>
      <c r="H7" s="238">
        <f>D7*1.03</f>
        <v>28325000</v>
      </c>
      <c r="I7" s="232">
        <f>22989200+350000+80000+705800</f>
        <v>24125000</v>
      </c>
      <c r="J7" s="233">
        <v>4200000</v>
      </c>
      <c r="K7" s="234"/>
      <c r="L7" s="238">
        <f>H7*1.03</f>
        <v>29174750</v>
      </c>
      <c r="M7" s="232">
        <f>22989200+350000+80000+705800+549750</f>
        <v>24674750</v>
      </c>
      <c r="N7" s="233">
        <f>4200000+300000</f>
        <v>4500000</v>
      </c>
      <c r="O7" s="234"/>
    </row>
    <row r="8" spans="1:15" ht="12.95" customHeight="1">
      <c r="A8" s="202">
        <f t="shared" si="0"/>
        <v>4</v>
      </c>
      <c r="B8" s="230" t="s">
        <v>278</v>
      </c>
      <c r="C8" s="231" t="s">
        <v>178</v>
      </c>
      <c r="D8" s="238">
        <v>810000</v>
      </c>
      <c r="E8" s="235">
        <f>810000</f>
        <v>810000</v>
      </c>
      <c r="F8" s="233">
        <v>0</v>
      </c>
      <c r="G8" s="234"/>
      <c r="H8" s="238">
        <v>835000</v>
      </c>
      <c r="I8" s="235">
        <v>835000</v>
      </c>
      <c r="J8" s="233">
        <v>0</v>
      </c>
      <c r="K8" s="234"/>
      <c r="L8" s="238">
        <v>835000</v>
      </c>
      <c r="M8" s="235">
        <v>835000</v>
      </c>
      <c r="N8" s="233">
        <v>0</v>
      </c>
      <c r="O8" s="234"/>
    </row>
    <row r="9" spans="1:15" ht="12.95" customHeight="1">
      <c r="A9" s="202">
        <f t="shared" si="0"/>
        <v>4</v>
      </c>
      <c r="B9" s="230" t="s">
        <v>279</v>
      </c>
      <c r="C9" s="231" t="s">
        <v>179</v>
      </c>
      <c r="D9" s="238">
        <v>3210000</v>
      </c>
      <c r="E9" s="235">
        <f>2719000+125000+40000+206000</f>
        <v>3090000</v>
      </c>
      <c r="F9" s="236">
        <f>316000-206000+10000</f>
        <v>120000</v>
      </c>
      <c r="G9" s="234"/>
      <c r="H9" s="238">
        <v>3310000</v>
      </c>
      <c r="I9" s="235">
        <f>2719000+125000+40000+206000+80000</f>
        <v>3170000</v>
      </c>
      <c r="J9" s="236">
        <f>316000-206000+10000+20000</f>
        <v>140000</v>
      </c>
      <c r="K9" s="234"/>
      <c r="L9" s="238">
        <v>3310000</v>
      </c>
      <c r="M9" s="235">
        <f>2719000+125000+40000+206000+80000</f>
        <v>3170000</v>
      </c>
      <c r="N9" s="236">
        <f>316000-206000+10000+20000</f>
        <v>140000</v>
      </c>
      <c r="O9" s="234"/>
    </row>
    <row r="10" spans="1:15" ht="24" customHeight="1">
      <c r="A10" s="202">
        <f t="shared" si="0"/>
        <v>3</v>
      </c>
      <c r="B10" s="237">
        <v>312</v>
      </c>
      <c r="C10" s="226" t="s">
        <v>20</v>
      </c>
      <c r="D10" s="229">
        <f t="shared" ref="D10:O10" si="4">SUM(D11)</f>
        <v>1350000</v>
      </c>
      <c r="E10" s="227">
        <f t="shared" si="4"/>
        <v>1280000</v>
      </c>
      <c r="F10" s="228">
        <f t="shared" si="4"/>
        <v>70000</v>
      </c>
      <c r="G10" s="229">
        <f t="shared" si="4"/>
        <v>0</v>
      </c>
      <c r="H10" s="229">
        <f t="shared" si="4"/>
        <v>1400000</v>
      </c>
      <c r="I10" s="227">
        <f t="shared" si="4"/>
        <v>1300000</v>
      </c>
      <c r="J10" s="228">
        <f t="shared" si="4"/>
        <v>100000</v>
      </c>
      <c r="K10" s="229">
        <f t="shared" si="4"/>
        <v>0</v>
      </c>
      <c r="L10" s="229">
        <f t="shared" si="4"/>
        <v>1440000</v>
      </c>
      <c r="M10" s="227">
        <f t="shared" si="4"/>
        <v>1330000</v>
      </c>
      <c r="N10" s="228">
        <f t="shared" si="4"/>
        <v>110000</v>
      </c>
      <c r="O10" s="229">
        <f t="shared" si="4"/>
        <v>0</v>
      </c>
    </row>
    <row r="11" spans="1:15" ht="12.95" customHeight="1">
      <c r="A11" s="202">
        <f t="shared" si="0"/>
        <v>4</v>
      </c>
      <c r="B11" s="230" t="s">
        <v>280</v>
      </c>
      <c r="C11" s="231" t="s">
        <v>20</v>
      </c>
      <c r="D11" s="238">
        <v>1350000</v>
      </c>
      <c r="E11" s="235">
        <f>1010000+30000+220000+20000</f>
        <v>1280000</v>
      </c>
      <c r="F11" s="236">
        <f>260000-200000+10000</f>
        <v>70000</v>
      </c>
      <c r="G11" s="234"/>
      <c r="H11" s="238">
        <v>1400000</v>
      </c>
      <c r="I11" s="235">
        <v>1300000</v>
      </c>
      <c r="J11" s="236">
        <f>260000-200000+10000+30000</f>
        <v>100000</v>
      </c>
      <c r="K11" s="234"/>
      <c r="L11" s="238">
        <v>1440000</v>
      </c>
      <c r="M11" s="235">
        <f>1300000+30000</f>
        <v>1330000</v>
      </c>
      <c r="N11" s="236">
        <f>260000-200000+10000+30000+10000</f>
        <v>110000</v>
      </c>
      <c r="O11" s="234"/>
    </row>
    <row r="12" spans="1:15" ht="24" customHeight="1">
      <c r="A12" s="202">
        <f t="shared" si="0"/>
        <v>3</v>
      </c>
      <c r="B12" s="237">
        <v>313</v>
      </c>
      <c r="C12" s="226" t="s">
        <v>21</v>
      </c>
      <c r="D12" s="229">
        <f t="shared" ref="D12:O12" si="5">SUM(D13:D14)</f>
        <v>5200000</v>
      </c>
      <c r="E12" s="227">
        <f t="shared" si="5"/>
        <v>4531055</v>
      </c>
      <c r="F12" s="228">
        <f t="shared" si="5"/>
        <v>668945</v>
      </c>
      <c r="G12" s="229">
        <f t="shared" si="5"/>
        <v>0</v>
      </c>
      <c r="H12" s="229">
        <f t="shared" si="5"/>
        <v>5360000</v>
      </c>
      <c r="I12" s="227">
        <f t="shared" si="5"/>
        <v>4650000</v>
      </c>
      <c r="J12" s="228">
        <f t="shared" si="5"/>
        <v>710000</v>
      </c>
      <c r="K12" s="229">
        <f t="shared" si="5"/>
        <v>0</v>
      </c>
      <c r="L12" s="229">
        <f t="shared" si="5"/>
        <v>5500000</v>
      </c>
      <c r="M12" s="227">
        <f t="shared" si="5"/>
        <v>4730000</v>
      </c>
      <c r="N12" s="228">
        <f t="shared" si="5"/>
        <v>770000</v>
      </c>
      <c r="O12" s="229">
        <f t="shared" si="5"/>
        <v>0</v>
      </c>
    </row>
    <row r="13" spans="1:15" ht="12.95" customHeight="1">
      <c r="A13" s="202">
        <f t="shared" si="0"/>
        <v>4</v>
      </c>
      <c r="B13" s="230" t="s">
        <v>281</v>
      </c>
      <c r="C13" s="231" t="s">
        <v>181</v>
      </c>
      <c r="D13" s="238">
        <v>5200000</v>
      </c>
      <c r="E13" s="235">
        <f>4207700+210000+77300+26055+10000</f>
        <v>4531055</v>
      </c>
      <c r="F13" s="236">
        <f>690000-26055+5000</f>
        <v>668945</v>
      </c>
      <c r="G13" s="234"/>
      <c r="H13" s="238">
        <v>5360000</v>
      </c>
      <c r="I13" s="235">
        <v>4650000</v>
      </c>
      <c r="J13" s="236">
        <f>690000-26055+5000+41055</f>
        <v>710000</v>
      </c>
      <c r="K13" s="234"/>
      <c r="L13" s="238">
        <v>5500000</v>
      </c>
      <c r="M13" s="235">
        <v>4730000</v>
      </c>
      <c r="N13" s="236">
        <f>690000-26055+5000+41055+60000</f>
        <v>770000</v>
      </c>
      <c r="O13" s="234"/>
    </row>
    <row r="14" spans="1:15" ht="12.95" customHeight="1">
      <c r="B14" s="230">
        <v>3133</v>
      </c>
      <c r="C14" s="231" t="s">
        <v>282</v>
      </c>
      <c r="D14" s="238"/>
      <c r="E14" s="235"/>
      <c r="F14" s="236">
        <v>0</v>
      </c>
      <c r="G14" s="234"/>
      <c r="H14" s="238"/>
      <c r="I14" s="235"/>
      <c r="J14" s="236">
        <v>0</v>
      </c>
      <c r="K14" s="234"/>
      <c r="L14" s="238"/>
      <c r="M14" s="235"/>
      <c r="N14" s="236">
        <v>0</v>
      </c>
      <c r="O14" s="234"/>
    </row>
    <row r="15" spans="1:15" ht="24" customHeight="1">
      <c r="A15" s="202">
        <f t="shared" ref="A15:A48" si="6">LEN(B15)</f>
        <v>2</v>
      </c>
      <c r="B15" s="303" t="s">
        <v>43</v>
      </c>
      <c r="C15" s="221" t="s">
        <v>22</v>
      </c>
      <c r="D15" s="224">
        <f t="shared" ref="D15:O15" si="7">D16+D21+D28+D38+D40</f>
        <v>24600749</v>
      </c>
      <c r="E15" s="222">
        <f t="shared" si="7"/>
        <v>19717745</v>
      </c>
      <c r="F15" s="223">
        <f t="shared" si="7"/>
        <v>4033004</v>
      </c>
      <c r="G15" s="224">
        <f t="shared" si="7"/>
        <v>850000</v>
      </c>
      <c r="H15" s="224">
        <f t="shared" si="7"/>
        <v>25820070</v>
      </c>
      <c r="I15" s="222">
        <f t="shared" si="7"/>
        <v>19283000</v>
      </c>
      <c r="J15" s="223">
        <f t="shared" si="7"/>
        <v>5337070</v>
      </c>
      <c r="K15" s="224">
        <f t="shared" si="7"/>
        <v>1200000</v>
      </c>
      <c r="L15" s="224">
        <f t="shared" si="7"/>
        <v>27456390</v>
      </c>
      <c r="M15" s="222">
        <f t="shared" si="7"/>
        <v>19357250</v>
      </c>
      <c r="N15" s="223">
        <f t="shared" si="7"/>
        <v>7749140</v>
      </c>
      <c r="O15" s="224">
        <f t="shared" si="7"/>
        <v>350000</v>
      </c>
    </row>
    <row r="16" spans="1:15" ht="24" customHeight="1">
      <c r="A16" s="202">
        <f t="shared" si="6"/>
        <v>3</v>
      </c>
      <c r="B16" s="225" t="s">
        <v>44</v>
      </c>
      <c r="C16" s="226" t="s">
        <v>23</v>
      </c>
      <c r="D16" s="229">
        <f t="shared" ref="D16:O16" si="8">SUM(D17:D20)</f>
        <v>1165000</v>
      </c>
      <c r="E16" s="227">
        <f t="shared" si="8"/>
        <v>943000</v>
      </c>
      <c r="F16" s="228">
        <f t="shared" si="8"/>
        <v>222000</v>
      </c>
      <c r="G16" s="229">
        <f t="shared" si="8"/>
        <v>0</v>
      </c>
      <c r="H16" s="229">
        <f t="shared" si="8"/>
        <v>1205000</v>
      </c>
      <c r="I16" s="227">
        <f t="shared" si="8"/>
        <v>953000</v>
      </c>
      <c r="J16" s="228">
        <f t="shared" si="8"/>
        <v>252000</v>
      </c>
      <c r="K16" s="229">
        <f t="shared" si="8"/>
        <v>0</v>
      </c>
      <c r="L16" s="229">
        <f t="shared" si="8"/>
        <v>1285000</v>
      </c>
      <c r="M16" s="227">
        <f t="shared" si="8"/>
        <v>993000</v>
      </c>
      <c r="N16" s="228">
        <f t="shared" si="8"/>
        <v>292000</v>
      </c>
      <c r="O16" s="229">
        <f t="shared" si="8"/>
        <v>0</v>
      </c>
    </row>
    <row r="17" spans="1:15" ht="12.95" customHeight="1">
      <c r="A17" s="202">
        <f t="shared" si="6"/>
        <v>4</v>
      </c>
      <c r="B17" s="230" t="s">
        <v>283</v>
      </c>
      <c r="C17" s="231" t="s">
        <v>183</v>
      </c>
      <c r="D17" s="238">
        <v>70000</v>
      </c>
      <c r="E17" s="235">
        <f>70000-12000</f>
        <v>58000</v>
      </c>
      <c r="F17" s="236">
        <f>18000-6000</f>
        <v>12000</v>
      </c>
      <c r="G17" s="234"/>
      <c r="H17" s="238">
        <v>80000</v>
      </c>
      <c r="I17" s="235">
        <f>70000-12000</f>
        <v>58000</v>
      </c>
      <c r="J17" s="236">
        <f>18000-6000+10000</f>
        <v>22000</v>
      </c>
      <c r="K17" s="234"/>
      <c r="L17" s="238">
        <v>100000</v>
      </c>
      <c r="M17" s="235">
        <f>70000-12000</f>
        <v>58000</v>
      </c>
      <c r="N17" s="236">
        <f>18000-6000+10000+20000</f>
        <v>42000</v>
      </c>
      <c r="O17" s="234"/>
    </row>
    <row r="18" spans="1:15" ht="12.95" customHeight="1">
      <c r="A18" s="202">
        <f t="shared" si="6"/>
        <v>4</v>
      </c>
      <c r="B18" s="230" t="s">
        <v>284</v>
      </c>
      <c r="C18" s="231" t="s">
        <v>285</v>
      </c>
      <c r="D18" s="238">
        <v>960000</v>
      </c>
      <c r="E18" s="235">
        <f>666000+30000+70000</f>
        <v>766000</v>
      </c>
      <c r="F18" s="236">
        <f>184000+10000</f>
        <v>194000</v>
      </c>
      <c r="G18" s="234"/>
      <c r="H18" s="238">
        <v>980000</v>
      </c>
      <c r="I18" s="235">
        <f>666000+30000+70000+10000</f>
        <v>776000</v>
      </c>
      <c r="J18" s="236">
        <f>184000+10000+10000</f>
        <v>204000</v>
      </c>
      <c r="K18" s="234"/>
      <c r="L18" s="238">
        <v>1030000</v>
      </c>
      <c r="M18" s="235">
        <f>666000+30000+70000+10000+40000</f>
        <v>816000</v>
      </c>
      <c r="N18" s="236">
        <f>184000+10000+10000+10000</f>
        <v>214000</v>
      </c>
      <c r="O18" s="234"/>
    </row>
    <row r="19" spans="1:15" ht="12.95" customHeight="1">
      <c r="A19" s="202">
        <f t="shared" si="6"/>
        <v>4</v>
      </c>
      <c r="B19" s="230" t="s">
        <v>286</v>
      </c>
      <c r="C19" s="231" t="s">
        <v>185</v>
      </c>
      <c r="D19" s="238">
        <v>130000</v>
      </c>
      <c r="E19" s="235">
        <f>94000+50000-50000+20000</f>
        <v>114000</v>
      </c>
      <c r="F19" s="236">
        <f>36000-20000</f>
        <v>16000</v>
      </c>
      <c r="G19" s="234"/>
      <c r="H19" s="238">
        <v>140000</v>
      </c>
      <c r="I19" s="235">
        <f>94000+50000-50000+20000</f>
        <v>114000</v>
      </c>
      <c r="J19" s="236">
        <f>36000-20000+10000</f>
        <v>26000</v>
      </c>
      <c r="K19" s="234"/>
      <c r="L19" s="238">
        <v>150000</v>
      </c>
      <c r="M19" s="235">
        <f>94000+50000-50000+20000</f>
        <v>114000</v>
      </c>
      <c r="N19" s="236">
        <f>36000-20000+10000+10000</f>
        <v>36000</v>
      </c>
      <c r="O19" s="234"/>
    </row>
    <row r="20" spans="1:15" ht="12.95" customHeight="1">
      <c r="A20" s="202">
        <f t="shared" si="6"/>
        <v>4</v>
      </c>
      <c r="B20" s="230" t="s">
        <v>287</v>
      </c>
      <c r="C20" s="231" t="s">
        <v>186</v>
      </c>
      <c r="D20" s="238">
        <v>5000</v>
      </c>
      <c r="E20" s="235">
        <v>5000</v>
      </c>
      <c r="F20" s="236">
        <v>0</v>
      </c>
      <c r="G20" s="234"/>
      <c r="H20" s="238">
        <v>5000</v>
      </c>
      <c r="I20" s="235">
        <v>5000</v>
      </c>
      <c r="J20" s="236">
        <v>0</v>
      </c>
      <c r="K20" s="234"/>
      <c r="L20" s="238">
        <v>5000</v>
      </c>
      <c r="M20" s="235">
        <v>5000</v>
      </c>
      <c r="N20" s="236">
        <v>0</v>
      </c>
      <c r="O20" s="234"/>
    </row>
    <row r="21" spans="1:15" ht="24" customHeight="1">
      <c r="A21" s="202">
        <f t="shared" si="6"/>
        <v>3</v>
      </c>
      <c r="B21" s="225" t="s">
        <v>45</v>
      </c>
      <c r="C21" s="226" t="s">
        <v>24</v>
      </c>
      <c r="D21" s="229">
        <f t="shared" ref="D21:O21" si="9">SUM(D22:D27)</f>
        <v>16462749</v>
      </c>
      <c r="E21" s="227">
        <f t="shared" si="9"/>
        <v>14730749</v>
      </c>
      <c r="F21" s="228">
        <f t="shared" si="9"/>
        <v>1732000</v>
      </c>
      <c r="G21" s="229">
        <f t="shared" si="9"/>
        <v>0</v>
      </c>
      <c r="H21" s="229">
        <f t="shared" si="9"/>
        <v>16990000</v>
      </c>
      <c r="I21" s="227">
        <f t="shared" si="9"/>
        <v>14158000</v>
      </c>
      <c r="J21" s="228">
        <f t="shared" si="9"/>
        <v>2832000</v>
      </c>
      <c r="K21" s="229">
        <f t="shared" si="9"/>
        <v>0</v>
      </c>
      <c r="L21" s="229">
        <f t="shared" si="9"/>
        <v>17760000</v>
      </c>
      <c r="M21" s="227">
        <f t="shared" si="9"/>
        <v>13548000</v>
      </c>
      <c r="N21" s="228">
        <f t="shared" si="9"/>
        <v>4212000</v>
      </c>
      <c r="O21" s="229">
        <f t="shared" si="9"/>
        <v>0</v>
      </c>
    </row>
    <row r="22" spans="1:15" ht="12.95" customHeight="1">
      <c r="A22" s="202">
        <f t="shared" si="6"/>
        <v>4</v>
      </c>
      <c r="B22" s="230" t="s">
        <v>288</v>
      </c>
      <c r="C22" s="231" t="s">
        <v>289</v>
      </c>
      <c r="D22" s="307">
        <v>680000</v>
      </c>
      <c r="E22" s="308">
        <f>480000+60000</f>
        <v>540000</v>
      </c>
      <c r="F22" s="309">
        <f>120000+20000</f>
        <v>140000</v>
      </c>
      <c r="G22" s="310"/>
      <c r="H22" s="307">
        <v>700000</v>
      </c>
      <c r="I22" s="308">
        <f>480000+60000+20000</f>
        <v>560000</v>
      </c>
      <c r="J22" s="309">
        <f>120000+20000</f>
        <v>140000</v>
      </c>
      <c r="K22" s="310"/>
      <c r="L22" s="307">
        <v>750000</v>
      </c>
      <c r="M22" s="235">
        <f>480000+60000+20000+30000</f>
        <v>590000</v>
      </c>
      <c r="N22" s="236">
        <f>120000+20000+20000</f>
        <v>160000</v>
      </c>
      <c r="O22" s="234"/>
    </row>
    <row r="23" spans="1:15" ht="12.95" customHeight="1">
      <c r="A23" s="202">
        <f t="shared" si="6"/>
        <v>4</v>
      </c>
      <c r="B23" s="230" t="s">
        <v>290</v>
      </c>
      <c r="C23" s="231" t="s">
        <v>188</v>
      </c>
      <c r="D23" s="307">
        <f>13000000+22749</f>
        <v>13022749</v>
      </c>
      <c r="E23" s="308">
        <f>11929300+290000+800700-377251-500000</f>
        <v>12142749</v>
      </c>
      <c r="F23" s="309">
        <f>1280700-800000-700-100000+500000</f>
        <v>880000</v>
      </c>
      <c r="G23" s="310"/>
      <c r="H23" s="307">
        <v>13500000</v>
      </c>
      <c r="I23" s="308">
        <f>11929300+290000+800700-377251-500000+371251+6000-1000000</f>
        <v>11520000</v>
      </c>
      <c r="J23" s="309">
        <f>1280700-800000-700-100000+500000+100000+1000000</f>
        <v>1980000</v>
      </c>
      <c r="K23" s="310"/>
      <c r="L23" s="307">
        <v>14100000</v>
      </c>
      <c r="M23" s="235">
        <f>11929300+290000+800700-377251-500000+371251+6000-1000000+300000-1000000</f>
        <v>10820000</v>
      </c>
      <c r="N23" s="236">
        <f>1280700-800000-700-100000+500000+100000+1000000+300000+1000000</f>
        <v>3280000</v>
      </c>
      <c r="O23" s="234"/>
    </row>
    <row r="24" spans="1:15" ht="12.95" customHeight="1">
      <c r="A24" s="202">
        <f t="shared" si="6"/>
        <v>4</v>
      </c>
      <c r="B24" s="230" t="s">
        <v>291</v>
      </c>
      <c r="C24" s="231" t="s">
        <v>189</v>
      </c>
      <c r="D24" s="307">
        <v>2100000</v>
      </c>
      <c r="E24" s="308">
        <f>1760000-100000-100000</f>
        <v>1560000</v>
      </c>
      <c r="F24" s="309">
        <f>440000+100000</f>
        <v>540000</v>
      </c>
      <c r="G24" s="310"/>
      <c r="H24" s="307">
        <v>2100000</v>
      </c>
      <c r="I24" s="308">
        <f>1760000-100000-100000</f>
        <v>1560000</v>
      </c>
      <c r="J24" s="309">
        <f>440000+100000</f>
        <v>540000</v>
      </c>
      <c r="K24" s="310"/>
      <c r="L24" s="307">
        <v>2200000</v>
      </c>
      <c r="M24" s="235">
        <f>1760000-100000-100000+60000</f>
        <v>1620000</v>
      </c>
      <c r="N24" s="236">
        <f>440000+100000+40000</f>
        <v>580000</v>
      </c>
      <c r="O24" s="234"/>
    </row>
    <row r="25" spans="1:15" ht="12.95" customHeight="1">
      <c r="A25" s="202">
        <f t="shared" si="6"/>
        <v>4</v>
      </c>
      <c r="B25" s="230" t="s">
        <v>292</v>
      </c>
      <c r="C25" s="231" t="s">
        <v>293</v>
      </c>
      <c r="D25" s="307">
        <f>380000-20000</f>
        <v>360000</v>
      </c>
      <c r="E25" s="308">
        <f>140000+100000</f>
        <v>240000</v>
      </c>
      <c r="F25" s="309">
        <f>60000+60000</f>
        <v>120000</v>
      </c>
      <c r="G25" s="310"/>
      <c r="H25" s="307">
        <f>380000-20000</f>
        <v>360000</v>
      </c>
      <c r="I25" s="308">
        <f>140000+100000</f>
        <v>240000</v>
      </c>
      <c r="J25" s="309">
        <f>60000+60000</f>
        <v>120000</v>
      </c>
      <c r="K25" s="310"/>
      <c r="L25" s="307">
        <f>380000-20000</f>
        <v>360000</v>
      </c>
      <c r="M25" s="235">
        <f>140000+100000</f>
        <v>240000</v>
      </c>
      <c r="N25" s="236">
        <f>60000+60000</f>
        <v>120000</v>
      </c>
      <c r="O25" s="234"/>
    </row>
    <row r="26" spans="1:15" ht="12.95" customHeight="1">
      <c r="A26" s="202">
        <f t="shared" si="6"/>
        <v>4</v>
      </c>
      <c r="B26" s="230" t="s">
        <v>294</v>
      </c>
      <c r="C26" s="231" t="s">
        <v>191</v>
      </c>
      <c r="D26" s="307">
        <v>180000</v>
      </c>
      <c r="E26" s="308">
        <f>168000-20000</f>
        <v>148000</v>
      </c>
      <c r="F26" s="309">
        <f>42000-10000</f>
        <v>32000</v>
      </c>
      <c r="G26" s="310"/>
      <c r="H26" s="307">
        <v>180000</v>
      </c>
      <c r="I26" s="308">
        <f>168000-20000</f>
        <v>148000</v>
      </c>
      <c r="J26" s="309">
        <f>42000-10000</f>
        <v>32000</v>
      </c>
      <c r="K26" s="310"/>
      <c r="L26" s="307">
        <v>200000</v>
      </c>
      <c r="M26" s="235">
        <f>168000-20000</f>
        <v>148000</v>
      </c>
      <c r="N26" s="236">
        <f>42000-10000+20000</f>
        <v>52000</v>
      </c>
      <c r="O26" s="234"/>
    </row>
    <row r="27" spans="1:15" ht="12.95" customHeight="1">
      <c r="A27" s="202">
        <f t="shared" si="6"/>
        <v>4</v>
      </c>
      <c r="B27" s="230" t="s">
        <v>295</v>
      </c>
      <c r="C27" s="231" t="s">
        <v>296</v>
      </c>
      <c r="D27" s="307">
        <v>120000</v>
      </c>
      <c r="E27" s="308">
        <f>120000-20000</f>
        <v>100000</v>
      </c>
      <c r="F27" s="309">
        <f>30000-10000</f>
        <v>20000</v>
      </c>
      <c r="G27" s="310"/>
      <c r="H27" s="307">
        <v>150000</v>
      </c>
      <c r="I27" s="308">
        <f>120000-20000+30000</f>
        <v>130000</v>
      </c>
      <c r="J27" s="309">
        <f>30000-10000</f>
        <v>20000</v>
      </c>
      <c r="K27" s="310"/>
      <c r="L27" s="307">
        <v>150000</v>
      </c>
      <c r="M27" s="235">
        <f>120000-20000+30000</f>
        <v>130000</v>
      </c>
      <c r="N27" s="236">
        <f>30000-10000</f>
        <v>20000</v>
      </c>
      <c r="O27" s="234"/>
    </row>
    <row r="28" spans="1:15" ht="24" customHeight="1">
      <c r="A28" s="202">
        <f t="shared" si="6"/>
        <v>3</v>
      </c>
      <c r="B28" s="225" t="s">
        <v>46</v>
      </c>
      <c r="C28" s="226" t="s">
        <v>25</v>
      </c>
      <c r="D28" s="229">
        <f t="shared" ref="D28:O28" si="10">SUM(D29:D37)</f>
        <v>6520000</v>
      </c>
      <c r="E28" s="227">
        <f t="shared" si="10"/>
        <v>3694996</v>
      </c>
      <c r="F28" s="228">
        <f t="shared" si="10"/>
        <v>1975004</v>
      </c>
      <c r="G28" s="229">
        <f t="shared" si="10"/>
        <v>850000</v>
      </c>
      <c r="H28" s="229">
        <f t="shared" si="10"/>
        <v>7163070</v>
      </c>
      <c r="I28" s="227">
        <f t="shared" si="10"/>
        <v>3829000</v>
      </c>
      <c r="J28" s="228">
        <f t="shared" si="10"/>
        <v>2134070</v>
      </c>
      <c r="K28" s="229">
        <f t="shared" si="10"/>
        <v>1200000</v>
      </c>
      <c r="L28" s="229">
        <f t="shared" si="10"/>
        <v>7907390</v>
      </c>
      <c r="M28" s="227">
        <f t="shared" si="10"/>
        <v>4453250</v>
      </c>
      <c r="N28" s="228">
        <f t="shared" si="10"/>
        <v>3104140</v>
      </c>
      <c r="O28" s="229">
        <f t="shared" si="10"/>
        <v>350000</v>
      </c>
    </row>
    <row r="29" spans="1:15" ht="12.95" customHeight="1">
      <c r="A29" s="202">
        <f t="shared" si="6"/>
        <v>4</v>
      </c>
      <c r="B29" s="230" t="s">
        <v>297</v>
      </c>
      <c r="C29" s="231" t="s">
        <v>193</v>
      </c>
      <c r="D29" s="307">
        <v>235000</v>
      </c>
      <c r="E29" s="308">
        <f>168000+10000</f>
        <v>178000</v>
      </c>
      <c r="F29" s="309">
        <f>42000+15000</f>
        <v>57000</v>
      </c>
      <c r="G29" s="310"/>
      <c r="H29" s="307">
        <v>240000</v>
      </c>
      <c r="I29" s="308">
        <f>168000+10000</f>
        <v>178000</v>
      </c>
      <c r="J29" s="309">
        <f>42000+15000+5000</f>
        <v>62000</v>
      </c>
      <c r="K29" s="310"/>
      <c r="L29" s="307">
        <v>250000</v>
      </c>
      <c r="M29" s="235">
        <f>168000+10000</f>
        <v>178000</v>
      </c>
      <c r="N29" s="236">
        <f>42000+15000+5000+10000</f>
        <v>72000</v>
      </c>
      <c r="O29" s="234"/>
    </row>
    <row r="30" spans="1:15" ht="12.95" customHeight="1">
      <c r="A30" s="202">
        <f t="shared" si="6"/>
        <v>4</v>
      </c>
      <c r="B30" s="230" t="s">
        <v>298</v>
      </c>
      <c r="C30" s="231" t="s">
        <v>299</v>
      </c>
      <c r="D30" s="311">
        <f>2100000+850000</f>
        <v>2950000</v>
      </c>
      <c r="E30" s="308">
        <f>262200.38+1393086.19+100000+529660.43+3770-288465.3-20000-100951.7-775304</f>
        <v>1103996</v>
      </c>
      <c r="F30" s="309">
        <f>258700-38000+775304</f>
        <v>996004</v>
      </c>
      <c r="G30" s="307">
        <v>850000</v>
      </c>
      <c r="H30" s="311">
        <f>2100000+350000+850000+278070</f>
        <v>3578070</v>
      </c>
      <c r="I30" s="308">
        <f>262200.38+1393086.19+100000+529660.43+3770-288465.3-20000-100951.7-775304+278070+4-134070</f>
        <v>1248000</v>
      </c>
      <c r="J30" s="309">
        <f>258700-38000+775304-4+134070</f>
        <v>1130070</v>
      </c>
      <c r="K30" s="307">
        <f>350000+850000</f>
        <v>1200000</v>
      </c>
      <c r="L30" s="311">
        <f>4200000-87610</f>
        <v>4112390</v>
      </c>
      <c r="M30" s="235">
        <f>262200.38+1393086.19+100000+529660.43+3770-288465.3-20000-100951.7-775304+278070+4-134070+1000000-375750</f>
        <v>1872250</v>
      </c>
      <c r="N30" s="236">
        <f>258700-38000+775304-4+134070+384320+375750</f>
        <v>1890140</v>
      </c>
      <c r="O30" s="238">
        <v>350000</v>
      </c>
    </row>
    <row r="31" spans="1:15" ht="12.95" customHeight="1">
      <c r="A31" s="202">
        <f t="shared" si="6"/>
        <v>4</v>
      </c>
      <c r="B31" s="230" t="s">
        <v>300</v>
      </c>
      <c r="C31" s="231" t="s">
        <v>195</v>
      </c>
      <c r="D31" s="307">
        <v>270000</v>
      </c>
      <c r="E31" s="308">
        <f>95000+25000</f>
        <v>120000</v>
      </c>
      <c r="F31" s="309">
        <f>95000+55000</f>
        <v>150000</v>
      </c>
      <c r="G31" s="310"/>
      <c r="H31" s="307">
        <v>280000</v>
      </c>
      <c r="I31" s="308">
        <f>95000+25000</f>
        <v>120000</v>
      </c>
      <c r="J31" s="309">
        <f>95000+55000+10000</f>
        <v>160000</v>
      </c>
      <c r="K31" s="310"/>
      <c r="L31" s="307">
        <v>300000</v>
      </c>
      <c r="M31" s="235">
        <f>95000+25000</f>
        <v>120000</v>
      </c>
      <c r="N31" s="236">
        <f>95000+55000+10000+20000</f>
        <v>180000</v>
      </c>
      <c r="O31" s="234"/>
    </row>
    <row r="32" spans="1:15" ht="12.95" customHeight="1">
      <c r="A32" s="202">
        <f t="shared" si="6"/>
        <v>4</v>
      </c>
      <c r="B32" s="230" t="s">
        <v>301</v>
      </c>
      <c r="C32" s="231" t="s">
        <v>196</v>
      </c>
      <c r="D32" s="307">
        <v>850000</v>
      </c>
      <c r="E32" s="308">
        <f>765000-50000-100000</f>
        <v>615000</v>
      </c>
      <c r="F32" s="309">
        <f>135000+100000</f>
        <v>235000</v>
      </c>
      <c r="G32" s="310"/>
      <c r="H32" s="307">
        <v>900000</v>
      </c>
      <c r="I32" s="308">
        <f>765000-50000-100000+40000</f>
        <v>655000</v>
      </c>
      <c r="J32" s="309">
        <f>135000+100000+10000</f>
        <v>245000</v>
      </c>
      <c r="K32" s="310"/>
      <c r="L32" s="307">
        <v>1000000</v>
      </c>
      <c r="M32" s="235">
        <f>765000-50000-100000+40000</f>
        <v>655000</v>
      </c>
      <c r="N32" s="236">
        <f>135000+100000+10000+100000</f>
        <v>345000</v>
      </c>
      <c r="O32" s="234"/>
    </row>
    <row r="33" spans="1:15" ht="12.95" customHeight="1">
      <c r="A33" s="202">
        <f t="shared" si="6"/>
        <v>4</v>
      </c>
      <c r="B33" s="230" t="s">
        <v>302</v>
      </c>
      <c r="C33" s="231" t="s">
        <v>197</v>
      </c>
      <c r="D33" s="307">
        <v>565000</v>
      </c>
      <c r="E33" s="308">
        <f>360000+115000</f>
        <v>475000</v>
      </c>
      <c r="F33" s="309">
        <f>90000</f>
        <v>90000</v>
      </c>
      <c r="G33" s="310"/>
      <c r="H33" s="307">
        <v>565000</v>
      </c>
      <c r="I33" s="308">
        <f>360000+115000</f>
        <v>475000</v>
      </c>
      <c r="J33" s="309">
        <f>90000</f>
        <v>90000</v>
      </c>
      <c r="K33" s="310"/>
      <c r="L33" s="307">
        <v>565000</v>
      </c>
      <c r="M33" s="235">
        <f>360000+115000</f>
        <v>475000</v>
      </c>
      <c r="N33" s="236">
        <f>90000</f>
        <v>90000</v>
      </c>
      <c r="O33" s="234"/>
    </row>
    <row r="34" spans="1:15" ht="12.95" customHeight="1">
      <c r="A34" s="202">
        <f t="shared" si="6"/>
        <v>4</v>
      </c>
      <c r="B34" s="230" t="s">
        <v>303</v>
      </c>
      <c r="C34" s="231" t="s">
        <v>198</v>
      </c>
      <c r="D34" s="307">
        <v>400000</v>
      </c>
      <c r="E34" s="308">
        <f>432000-70000-50000</f>
        <v>312000</v>
      </c>
      <c r="F34" s="309">
        <f>108000-20000</f>
        <v>88000</v>
      </c>
      <c r="G34" s="310"/>
      <c r="H34" s="307">
        <v>350000</v>
      </c>
      <c r="I34" s="308">
        <f>432000-70000-50000-50000</f>
        <v>262000</v>
      </c>
      <c r="J34" s="309">
        <f>108000-20000</f>
        <v>88000</v>
      </c>
      <c r="K34" s="310"/>
      <c r="L34" s="307">
        <v>350000</v>
      </c>
      <c r="M34" s="235">
        <f>432000-70000-50000-50000</f>
        <v>262000</v>
      </c>
      <c r="N34" s="236">
        <f>108000-20000</f>
        <v>88000</v>
      </c>
      <c r="O34" s="234"/>
    </row>
    <row r="35" spans="1:15" ht="12.95" customHeight="1">
      <c r="A35" s="202">
        <f t="shared" si="6"/>
        <v>4</v>
      </c>
      <c r="B35" s="230" t="s">
        <v>304</v>
      </c>
      <c r="C35" s="231" t="s">
        <v>199</v>
      </c>
      <c r="D35" s="307">
        <v>480000</v>
      </c>
      <c r="E35" s="308">
        <f>360000+30000+15000</f>
        <v>405000</v>
      </c>
      <c r="F35" s="309">
        <f>90000-15000</f>
        <v>75000</v>
      </c>
      <c r="G35" s="310"/>
      <c r="H35" s="307">
        <v>480000</v>
      </c>
      <c r="I35" s="308">
        <f>360000+30000+15000</f>
        <v>405000</v>
      </c>
      <c r="J35" s="309">
        <f>90000-15000</f>
        <v>75000</v>
      </c>
      <c r="K35" s="310"/>
      <c r="L35" s="307">
        <v>480000</v>
      </c>
      <c r="M35" s="235">
        <f>360000+30000+15000</f>
        <v>405000</v>
      </c>
      <c r="N35" s="236">
        <f>90000-15000</f>
        <v>75000</v>
      </c>
      <c r="O35" s="234"/>
    </row>
    <row r="36" spans="1:15" ht="12.95" customHeight="1">
      <c r="A36" s="202">
        <f t="shared" si="6"/>
        <v>4</v>
      </c>
      <c r="B36" s="230" t="s">
        <v>305</v>
      </c>
      <c r="C36" s="231" t="s">
        <v>200</v>
      </c>
      <c r="D36" s="307">
        <v>470000</v>
      </c>
      <c r="E36" s="308">
        <f>376000</f>
        <v>376000</v>
      </c>
      <c r="F36" s="309">
        <f>94000</f>
        <v>94000</v>
      </c>
      <c r="G36" s="310"/>
      <c r="H36" s="307">
        <v>470000</v>
      </c>
      <c r="I36" s="308">
        <f>376000</f>
        <v>376000</v>
      </c>
      <c r="J36" s="309">
        <f>94000</f>
        <v>94000</v>
      </c>
      <c r="K36" s="310"/>
      <c r="L36" s="307">
        <v>550000</v>
      </c>
      <c r="M36" s="235">
        <f>376000</f>
        <v>376000</v>
      </c>
      <c r="N36" s="236">
        <f>94000+80000</f>
        <v>174000</v>
      </c>
      <c r="O36" s="234"/>
    </row>
    <row r="37" spans="1:15" ht="12.95" customHeight="1">
      <c r="A37" s="202">
        <f t="shared" si="6"/>
        <v>4</v>
      </c>
      <c r="B37" s="230" t="s">
        <v>306</v>
      </c>
      <c r="C37" s="231" t="s">
        <v>201</v>
      </c>
      <c r="D37" s="307">
        <v>300000</v>
      </c>
      <c r="E37" s="308">
        <f>360000-100000-100000-50000</f>
        <v>110000</v>
      </c>
      <c r="F37" s="309">
        <f>90000+100000</f>
        <v>190000</v>
      </c>
      <c r="G37" s="310"/>
      <c r="H37" s="307">
        <v>300000</v>
      </c>
      <c r="I37" s="308">
        <f>360000-100000-100000-50000</f>
        <v>110000</v>
      </c>
      <c r="J37" s="309">
        <f>90000+100000</f>
        <v>190000</v>
      </c>
      <c r="K37" s="310"/>
      <c r="L37" s="307">
        <v>300000</v>
      </c>
      <c r="M37" s="235">
        <f>360000-100000-100000-50000</f>
        <v>110000</v>
      </c>
      <c r="N37" s="236">
        <f>90000+100000</f>
        <v>190000</v>
      </c>
      <c r="O37" s="234"/>
    </row>
    <row r="38" spans="1:15" ht="24" customHeight="1">
      <c r="A38" s="202">
        <f t="shared" si="6"/>
        <v>3</v>
      </c>
      <c r="B38" s="225" t="s">
        <v>47</v>
      </c>
      <c r="C38" s="226" t="s">
        <v>48</v>
      </c>
      <c r="D38" s="241">
        <f t="shared" ref="D38:O38" si="11">D39</f>
        <v>36000</v>
      </c>
      <c r="E38" s="239">
        <f t="shared" si="11"/>
        <v>36000</v>
      </c>
      <c r="F38" s="240">
        <f t="shared" si="11"/>
        <v>0</v>
      </c>
      <c r="G38" s="241">
        <f t="shared" si="11"/>
        <v>0</v>
      </c>
      <c r="H38" s="241">
        <f t="shared" si="11"/>
        <v>30000</v>
      </c>
      <c r="I38" s="239">
        <f t="shared" si="11"/>
        <v>30000</v>
      </c>
      <c r="J38" s="240">
        <f t="shared" si="11"/>
        <v>0</v>
      </c>
      <c r="K38" s="241">
        <f t="shared" si="11"/>
        <v>0</v>
      </c>
      <c r="L38" s="241">
        <f t="shared" si="11"/>
        <v>40000</v>
      </c>
      <c r="M38" s="239">
        <f t="shared" si="11"/>
        <v>40000</v>
      </c>
      <c r="N38" s="240">
        <f t="shared" si="11"/>
        <v>0</v>
      </c>
      <c r="O38" s="241">
        <f t="shared" si="11"/>
        <v>0</v>
      </c>
    </row>
    <row r="39" spans="1:15" ht="12.95" customHeight="1">
      <c r="A39" s="202">
        <f t="shared" si="6"/>
        <v>4</v>
      </c>
      <c r="B39" s="230" t="s">
        <v>307</v>
      </c>
      <c r="C39" s="231" t="s">
        <v>308</v>
      </c>
      <c r="D39" s="238">
        <v>36000</v>
      </c>
      <c r="E39" s="235">
        <f>36000</f>
        <v>36000</v>
      </c>
      <c r="F39" s="236">
        <v>0</v>
      </c>
      <c r="G39" s="234"/>
      <c r="H39" s="238">
        <v>30000</v>
      </c>
      <c r="I39" s="235">
        <v>30000</v>
      </c>
      <c r="J39" s="236">
        <v>0</v>
      </c>
      <c r="K39" s="234"/>
      <c r="L39" s="238">
        <v>40000</v>
      </c>
      <c r="M39" s="235">
        <v>40000</v>
      </c>
      <c r="N39" s="236">
        <v>0</v>
      </c>
      <c r="O39" s="234"/>
    </row>
    <row r="40" spans="1:15" ht="24" customHeight="1">
      <c r="A40" s="202">
        <f t="shared" si="6"/>
        <v>3</v>
      </c>
      <c r="B40" s="225" t="s">
        <v>49</v>
      </c>
      <c r="C40" s="226" t="s">
        <v>26</v>
      </c>
      <c r="D40" s="229">
        <f t="shared" ref="D40:O40" si="12">SUM(D41:D47)</f>
        <v>417000</v>
      </c>
      <c r="E40" s="227">
        <f t="shared" si="12"/>
        <v>313000</v>
      </c>
      <c r="F40" s="228">
        <f t="shared" si="12"/>
        <v>104000</v>
      </c>
      <c r="G40" s="229">
        <f t="shared" si="12"/>
        <v>0</v>
      </c>
      <c r="H40" s="229">
        <f t="shared" si="12"/>
        <v>432000</v>
      </c>
      <c r="I40" s="227">
        <f t="shared" si="12"/>
        <v>313000</v>
      </c>
      <c r="J40" s="228">
        <f t="shared" si="12"/>
        <v>119000</v>
      </c>
      <c r="K40" s="229">
        <f t="shared" si="12"/>
        <v>0</v>
      </c>
      <c r="L40" s="229">
        <f t="shared" si="12"/>
        <v>464000</v>
      </c>
      <c r="M40" s="227">
        <f t="shared" si="12"/>
        <v>323000</v>
      </c>
      <c r="N40" s="228">
        <f t="shared" si="12"/>
        <v>141000</v>
      </c>
      <c r="O40" s="229">
        <f t="shared" si="12"/>
        <v>0</v>
      </c>
    </row>
    <row r="41" spans="1:15" ht="12.95" customHeight="1">
      <c r="A41" s="202">
        <f t="shared" si="6"/>
        <v>4</v>
      </c>
      <c r="B41" s="230" t="s">
        <v>309</v>
      </c>
      <c r="C41" s="231" t="s">
        <v>310</v>
      </c>
      <c r="D41" s="307">
        <v>54000</v>
      </c>
      <c r="E41" s="308">
        <f>47000+7000</f>
        <v>54000</v>
      </c>
      <c r="F41" s="309">
        <v>0</v>
      </c>
      <c r="G41" s="310"/>
      <c r="H41" s="307">
        <v>54000</v>
      </c>
      <c r="I41" s="308">
        <f>47000+7000</f>
        <v>54000</v>
      </c>
      <c r="J41" s="309">
        <v>0</v>
      </c>
      <c r="K41" s="310"/>
      <c r="L41" s="307">
        <v>54000</v>
      </c>
      <c r="M41" s="235">
        <f>47000+7000</f>
        <v>54000</v>
      </c>
      <c r="N41" s="236">
        <v>0</v>
      </c>
      <c r="O41" s="234"/>
    </row>
    <row r="42" spans="1:15" ht="12.95" customHeight="1">
      <c r="A42" s="202">
        <f t="shared" si="6"/>
        <v>4</v>
      </c>
      <c r="B42" s="230" t="s">
        <v>311</v>
      </c>
      <c r="C42" s="231" t="s">
        <v>217</v>
      </c>
      <c r="D42" s="307">
        <v>220000</v>
      </c>
      <c r="E42" s="308">
        <f>176000</f>
        <v>176000</v>
      </c>
      <c r="F42" s="309">
        <f>44000</f>
        <v>44000</v>
      </c>
      <c r="G42" s="310"/>
      <c r="H42" s="307">
        <v>220000</v>
      </c>
      <c r="I42" s="308">
        <f>176000</f>
        <v>176000</v>
      </c>
      <c r="J42" s="309">
        <f>44000</f>
        <v>44000</v>
      </c>
      <c r="K42" s="310"/>
      <c r="L42" s="307">
        <v>240000</v>
      </c>
      <c r="M42" s="235">
        <f>176000+10000</f>
        <v>186000</v>
      </c>
      <c r="N42" s="236">
        <f>44000+10000</f>
        <v>54000</v>
      </c>
      <c r="O42" s="234"/>
    </row>
    <row r="43" spans="1:15" ht="12.95" customHeight="1">
      <c r="A43" s="202">
        <f t="shared" si="6"/>
        <v>4</v>
      </c>
      <c r="B43" s="230" t="s">
        <v>312</v>
      </c>
      <c r="C43" s="231" t="s">
        <v>205</v>
      </c>
      <c r="D43" s="307">
        <f>25000</f>
        <v>25000</v>
      </c>
      <c r="E43" s="308">
        <v>0</v>
      </c>
      <c r="F43" s="309">
        <v>25000</v>
      </c>
      <c r="G43" s="310"/>
      <c r="H43" s="307">
        <v>40000</v>
      </c>
      <c r="I43" s="308">
        <v>0</v>
      </c>
      <c r="J43" s="309">
        <f>25000+15000</f>
        <v>40000</v>
      </c>
      <c r="K43" s="310"/>
      <c r="L43" s="307">
        <v>50000</v>
      </c>
      <c r="M43" s="235">
        <v>0</v>
      </c>
      <c r="N43" s="236">
        <v>50000</v>
      </c>
      <c r="O43" s="234"/>
    </row>
    <row r="44" spans="1:15" ht="12.95" customHeight="1">
      <c r="A44" s="202">
        <f t="shared" si="6"/>
        <v>4</v>
      </c>
      <c r="B44" s="230" t="s">
        <v>313</v>
      </c>
      <c r="C44" s="231" t="s">
        <v>314</v>
      </c>
      <c r="D44" s="307">
        <v>38000</v>
      </c>
      <c r="E44" s="308">
        <f>19000</f>
        <v>19000</v>
      </c>
      <c r="F44" s="309">
        <f>19000</f>
        <v>19000</v>
      </c>
      <c r="G44" s="310"/>
      <c r="H44" s="307">
        <v>38000</v>
      </c>
      <c r="I44" s="308">
        <f>19000</f>
        <v>19000</v>
      </c>
      <c r="J44" s="309">
        <f>19000</f>
        <v>19000</v>
      </c>
      <c r="K44" s="310"/>
      <c r="L44" s="307">
        <v>40000</v>
      </c>
      <c r="M44" s="235">
        <f>19000</f>
        <v>19000</v>
      </c>
      <c r="N44" s="236">
        <v>21000</v>
      </c>
      <c r="O44" s="234"/>
    </row>
    <row r="45" spans="1:15" ht="12.95" customHeight="1">
      <c r="A45" s="202">
        <f t="shared" si="6"/>
        <v>4</v>
      </c>
      <c r="B45" s="230" t="s">
        <v>315</v>
      </c>
      <c r="C45" s="231" t="s">
        <v>207</v>
      </c>
      <c r="D45" s="307">
        <f>70000-10000</f>
        <v>60000</v>
      </c>
      <c r="E45" s="308">
        <f>56000-10000</f>
        <v>46000</v>
      </c>
      <c r="F45" s="309">
        <f>14000</f>
        <v>14000</v>
      </c>
      <c r="G45" s="310"/>
      <c r="H45" s="307">
        <f>70000-10000</f>
        <v>60000</v>
      </c>
      <c r="I45" s="308">
        <f>56000-10000</f>
        <v>46000</v>
      </c>
      <c r="J45" s="309">
        <f>14000</f>
        <v>14000</v>
      </c>
      <c r="K45" s="310"/>
      <c r="L45" s="307">
        <f>70000-10000</f>
        <v>60000</v>
      </c>
      <c r="M45" s="235">
        <f>56000-10000</f>
        <v>46000</v>
      </c>
      <c r="N45" s="236">
        <f>14000</f>
        <v>14000</v>
      </c>
      <c r="O45" s="234"/>
    </row>
    <row r="46" spans="1:15" ht="12.95" customHeight="1">
      <c r="A46" s="202">
        <f t="shared" si="6"/>
        <v>4</v>
      </c>
      <c r="B46" s="230" t="s">
        <v>316</v>
      </c>
      <c r="C46" s="231" t="s">
        <v>219</v>
      </c>
      <c r="D46" s="307">
        <v>0</v>
      </c>
      <c r="E46" s="308">
        <v>0</v>
      </c>
      <c r="F46" s="309">
        <v>0</v>
      </c>
      <c r="G46" s="310"/>
      <c r="H46" s="307">
        <v>0</v>
      </c>
      <c r="I46" s="308">
        <v>0</v>
      </c>
      <c r="J46" s="309">
        <v>0</v>
      </c>
      <c r="K46" s="310"/>
      <c r="L46" s="307">
        <v>0</v>
      </c>
      <c r="M46" s="235">
        <v>0</v>
      </c>
      <c r="N46" s="236">
        <v>0</v>
      </c>
      <c r="O46" s="234"/>
    </row>
    <row r="47" spans="1:15" ht="12.95" customHeight="1">
      <c r="A47" s="202">
        <f t="shared" si="6"/>
        <v>4</v>
      </c>
      <c r="B47" s="230" t="s">
        <v>317</v>
      </c>
      <c r="C47" s="231" t="s">
        <v>318</v>
      </c>
      <c r="D47" s="307">
        <v>20000</v>
      </c>
      <c r="E47" s="308">
        <f>18000</f>
        <v>18000</v>
      </c>
      <c r="F47" s="309">
        <f>2000</f>
        <v>2000</v>
      </c>
      <c r="G47" s="310"/>
      <c r="H47" s="307">
        <v>20000</v>
      </c>
      <c r="I47" s="308">
        <f>18000</f>
        <v>18000</v>
      </c>
      <c r="J47" s="309">
        <f>2000</f>
        <v>2000</v>
      </c>
      <c r="K47" s="310"/>
      <c r="L47" s="307">
        <v>20000</v>
      </c>
      <c r="M47" s="235">
        <f>18000</f>
        <v>18000</v>
      </c>
      <c r="N47" s="236">
        <f>2000</f>
        <v>2000</v>
      </c>
      <c r="O47" s="234"/>
    </row>
    <row r="48" spans="1:15" ht="24" customHeight="1">
      <c r="A48" s="202">
        <f t="shared" si="6"/>
        <v>2</v>
      </c>
      <c r="B48" s="302" t="s">
        <v>50</v>
      </c>
      <c r="C48" s="242" t="s">
        <v>51</v>
      </c>
      <c r="D48" s="224">
        <f t="shared" ref="D48:O48" si="13">D51+D49</f>
        <v>182251</v>
      </c>
      <c r="E48" s="222">
        <f t="shared" si="13"/>
        <v>72000</v>
      </c>
      <c r="F48" s="223">
        <f t="shared" si="13"/>
        <v>110251</v>
      </c>
      <c r="G48" s="224">
        <f t="shared" si="13"/>
        <v>0</v>
      </c>
      <c r="H48" s="224">
        <f t="shared" si="13"/>
        <v>170180</v>
      </c>
      <c r="I48" s="222">
        <f t="shared" si="13"/>
        <v>72000</v>
      </c>
      <c r="J48" s="223">
        <f t="shared" si="13"/>
        <v>98180</v>
      </c>
      <c r="K48" s="224">
        <f t="shared" si="13"/>
        <v>0</v>
      </c>
      <c r="L48" s="224">
        <f t="shared" si="13"/>
        <v>169110</v>
      </c>
      <c r="M48" s="222">
        <f t="shared" si="13"/>
        <v>73000</v>
      </c>
      <c r="N48" s="223">
        <f t="shared" si="13"/>
        <v>96110</v>
      </c>
      <c r="O48" s="224">
        <f t="shared" si="13"/>
        <v>0</v>
      </c>
    </row>
    <row r="49" spans="1:15" ht="24" customHeight="1">
      <c r="B49" s="243">
        <v>342</v>
      </c>
      <c r="C49" s="244" t="s">
        <v>319</v>
      </c>
      <c r="D49" s="229">
        <f t="shared" ref="D49:O49" si="14">SUM(D50)</f>
        <v>46751</v>
      </c>
      <c r="E49" s="245">
        <f t="shared" si="14"/>
        <v>0</v>
      </c>
      <c r="F49" s="246">
        <f t="shared" si="14"/>
        <v>46751</v>
      </c>
      <c r="G49" s="247">
        <f t="shared" si="14"/>
        <v>0</v>
      </c>
      <c r="H49" s="229">
        <f t="shared" si="14"/>
        <v>34680</v>
      </c>
      <c r="I49" s="245">
        <f t="shared" si="14"/>
        <v>0</v>
      </c>
      <c r="J49" s="246">
        <f t="shared" si="14"/>
        <v>34680</v>
      </c>
      <c r="K49" s="247">
        <f t="shared" si="14"/>
        <v>0</v>
      </c>
      <c r="L49" s="229">
        <f t="shared" si="14"/>
        <v>22610</v>
      </c>
      <c r="M49" s="245">
        <f t="shared" si="14"/>
        <v>0</v>
      </c>
      <c r="N49" s="246">
        <f t="shared" si="14"/>
        <v>22610</v>
      </c>
      <c r="O49" s="247">
        <f t="shared" si="14"/>
        <v>0</v>
      </c>
    </row>
    <row r="50" spans="1:15" ht="12.95" customHeight="1">
      <c r="B50" s="248">
        <v>3423</v>
      </c>
      <c r="C50" s="231" t="s">
        <v>320</v>
      </c>
      <c r="D50" s="293">
        <v>46751</v>
      </c>
      <c r="E50" s="235"/>
      <c r="F50" s="236">
        <f>31700+15051</f>
        <v>46751</v>
      </c>
      <c r="G50" s="234"/>
      <c r="H50" s="293">
        <v>34680</v>
      </c>
      <c r="I50" s="235"/>
      <c r="J50" s="236">
        <f>31700+15051-12071</f>
        <v>34680</v>
      </c>
      <c r="K50" s="234"/>
      <c r="L50" s="293">
        <v>22610</v>
      </c>
      <c r="M50" s="235"/>
      <c r="N50" s="236">
        <v>22610</v>
      </c>
      <c r="O50" s="234"/>
    </row>
    <row r="51" spans="1:15" ht="24" customHeight="1">
      <c r="A51" s="202">
        <f>LEN(B51)</f>
        <v>3</v>
      </c>
      <c r="B51" s="225" t="s">
        <v>54</v>
      </c>
      <c r="C51" s="226" t="s">
        <v>27</v>
      </c>
      <c r="D51" s="229">
        <f t="shared" ref="D51:O51" si="15">SUM(D52:D55)</f>
        <v>135500</v>
      </c>
      <c r="E51" s="227">
        <f t="shared" si="15"/>
        <v>72000</v>
      </c>
      <c r="F51" s="228">
        <f t="shared" si="15"/>
        <v>63500</v>
      </c>
      <c r="G51" s="229">
        <f t="shared" si="15"/>
        <v>0</v>
      </c>
      <c r="H51" s="229">
        <f t="shared" si="15"/>
        <v>135500</v>
      </c>
      <c r="I51" s="227">
        <f t="shared" si="15"/>
        <v>72000</v>
      </c>
      <c r="J51" s="228">
        <f t="shared" si="15"/>
        <v>63500</v>
      </c>
      <c r="K51" s="229">
        <f t="shared" si="15"/>
        <v>0</v>
      </c>
      <c r="L51" s="229">
        <f t="shared" si="15"/>
        <v>146500</v>
      </c>
      <c r="M51" s="227">
        <f t="shared" si="15"/>
        <v>73000</v>
      </c>
      <c r="N51" s="228">
        <f t="shared" si="15"/>
        <v>73500</v>
      </c>
      <c r="O51" s="229">
        <f t="shared" si="15"/>
        <v>0</v>
      </c>
    </row>
    <row r="52" spans="1:15" ht="12.95" customHeight="1">
      <c r="A52" s="202">
        <f>LEN(B52)</f>
        <v>4</v>
      </c>
      <c r="B52" s="230" t="s">
        <v>321</v>
      </c>
      <c r="C52" s="231" t="s">
        <v>322</v>
      </c>
      <c r="D52" s="238">
        <v>22000</v>
      </c>
      <c r="E52" s="235">
        <f>20000-3000-5000</f>
        <v>12000</v>
      </c>
      <c r="F52" s="236">
        <f>5000+5000</f>
        <v>10000</v>
      </c>
      <c r="G52" s="234"/>
      <c r="H52" s="238">
        <v>22000</v>
      </c>
      <c r="I52" s="235">
        <f>20000-3000-5000</f>
        <v>12000</v>
      </c>
      <c r="J52" s="236">
        <f>5000+5000</f>
        <v>10000</v>
      </c>
      <c r="K52" s="234"/>
      <c r="L52" s="238">
        <v>23000</v>
      </c>
      <c r="M52" s="235">
        <v>13000</v>
      </c>
      <c r="N52" s="236">
        <f>5000+5000</f>
        <v>10000</v>
      </c>
      <c r="O52" s="234"/>
    </row>
    <row r="53" spans="1:15" ht="12.95" customHeight="1">
      <c r="A53" s="202">
        <f>LEN(B53)</f>
        <v>4</v>
      </c>
      <c r="B53" s="230" t="s">
        <v>323</v>
      </c>
      <c r="C53" s="231" t="s">
        <v>324</v>
      </c>
      <c r="D53" s="238">
        <v>3000</v>
      </c>
      <c r="E53" s="235">
        <v>0</v>
      </c>
      <c r="F53" s="236">
        <f>3000</f>
        <v>3000</v>
      </c>
      <c r="G53" s="234"/>
      <c r="H53" s="238">
        <v>3000</v>
      </c>
      <c r="I53" s="235">
        <v>0</v>
      </c>
      <c r="J53" s="236">
        <f>3000</f>
        <v>3000</v>
      </c>
      <c r="K53" s="234"/>
      <c r="L53" s="238">
        <v>3000</v>
      </c>
      <c r="M53" s="235">
        <v>0</v>
      </c>
      <c r="N53" s="236">
        <f>3000</f>
        <v>3000</v>
      </c>
      <c r="O53" s="234"/>
    </row>
    <row r="54" spans="1:15" ht="12.95" customHeight="1">
      <c r="A54" s="202">
        <f>LEN(B54)</f>
        <v>4</v>
      </c>
      <c r="B54" s="249" t="s">
        <v>325</v>
      </c>
      <c r="C54" s="250" t="s">
        <v>222</v>
      </c>
      <c r="D54" s="238">
        <v>500</v>
      </c>
      <c r="E54" s="235">
        <v>0</v>
      </c>
      <c r="F54" s="236">
        <v>500</v>
      </c>
      <c r="G54" s="234"/>
      <c r="H54" s="238">
        <v>500</v>
      </c>
      <c r="I54" s="235">
        <v>0</v>
      </c>
      <c r="J54" s="236">
        <v>500</v>
      </c>
      <c r="K54" s="234"/>
      <c r="L54" s="238">
        <v>500</v>
      </c>
      <c r="M54" s="235">
        <v>0</v>
      </c>
      <c r="N54" s="236">
        <v>500</v>
      </c>
      <c r="O54" s="234"/>
    </row>
    <row r="55" spans="1:15" ht="12.95" customHeight="1" thickBot="1">
      <c r="B55" s="251" t="s">
        <v>326</v>
      </c>
      <c r="C55" s="252" t="s">
        <v>327</v>
      </c>
      <c r="D55" s="238">
        <v>110000</v>
      </c>
      <c r="E55" s="235">
        <f>75000-15000</f>
        <v>60000</v>
      </c>
      <c r="F55" s="236">
        <f>75000-25000</f>
        <v>50000</v>
      </c>
      <c r="G55" s="234"/>
      <c r="H55" s="238">
        <v>110000</v>
      </c>
      <c r="I55" s="235">
        <f>75000-15000</f>
        <v>60000</v>
      </c>
      <c r="J55" s="236">
        <f>75000-25000</f>
        <v>50000</v>
      </c>
      <c r="K55" s="234"/>
      <c r="L55" s="238">
        <v>120000</v>
      </c>
      <c r="M55" s="235">
        <f>75000-15000</f>
        <v>60000</v>
      </c>
      <c r="N55" s="236">
        <v>60000</v>
      </c>
      <c r="O55" s="234"/>
    </row>
    <row r="56" spans="1:15" ht="26.25">
      <c r="A56" s="202" t="e">
        <f>LEN(#REF!)</f>
        <v>#REF!</v>
      </c>
      <c r="B56" s="299" t="s">
        <v>62</v>
      </c>
      <c r="C56" s="253" t="s">
        <v>29</v>
      </c>
      <c r="D56" s="294">
        <f t="shared" ref="D56:O56" si="16">D57+D60</f>
        <v>1670000</v>
      </c>
      <c r="E56" s="254">
        <f t="shared" si="16"/>
        <v>0</v>
      </c>
      <c r="F56" s="255">
        <f t="shared" si="16"/>
        <v>0</v>
      </c>
      <c r="G56" s="256">
        <f t="shared" si="16"/>
        <v>1670000</v>
      </c>
      <c r="H56" s="294">
        <f t="shared" si="16"/>
        <v>2730000</v>
      </c>
      <c r="I56" s="254">
        <f t="shared" si="16"/>
        <v>0</v>
      </c>
      <c r="J56" s="255">
        <f t="shared" si="16"/>
        <v>0</v>
      </c>
      <c r="K56" s="256">
        <f t="shared" si="16"/>
        <v>2730000</v>
      </c>
      <c r="L56" s="294">
        <f t="shared" si="16"/>
        <v>3200000</v>
      </c>
      <c r="M56" s="254">
        <f t="shared" si="16"/>
        <v>0</v>
      </c>
      <c r="N56" s="255">
        <f t="shared" si="16"/>
        <v>0</v>
      </c>
      <c r="O56" s="256">
        <f t="shared" si="16"/>
        <v>3200000</v>
      </c>
    </row>
    <row r="57" spans="1:15" ht="24" customHeight="1">
      <c r="A57" s="202">
        <f>LEN(B61)</f>
        <v>3</v>
      </c>
      <c r="B57" s="257" t="s">
        <v>63</v>
      </c>
      <c r="C57" s="258" t="s">
        <v>328</v>
      </c>
      <c r="D57" s="261">
        <f t="shared" ref="D57:O58" si="17">D58</f>
        <v>21000</v>
      </c>
      <c r="E57" s="259">
        <f t="shared" si="17"/>
        <v>0</v>
      </c>
      <c r="F57" s="260">
        <f t="shared" si="17"/>
        <v>0</v>
      </c>
      <c r="G57" s="261">
        <f t="shared" si="17"/>
        <v>21000</v>
      </c>
      <c r="H57" s="261">
        <f t="shared" si="17"/>
        <v>50000</v>
      </c>
      <c r="I57" s="259">
        <f t="shared" si="17"/>
        <v>0</v>
      </c>
      <c r="J57" s="260">
        <f t="shared" si="17"/>
        <v>0</v>
      </c>
      <c r="K57" s="261">
        <f t="shared" si="17"/>
        <v>50000</v>
      </c>
      <c r="L57" s="261">
        <f t="shared" si="17"/>
        <v>50000</v>
      </c>
      <c r="M57" s="259">
        <f t="shared" si="17"/>
        <v>0</v>
      </c>
      <c r="N57" s="260">
        <f t="shared" si="17"/>
        <v>0</v>
      </c>
      <c r="O57" s="261">
        <f t="shared" si="17"/>
        <v>50000</v>
      </c>
    </row>
    <row r="58" spans="1:15" ht="24" customHeight="1">
      <c r="A58" s="202">
        <f>LEN(B64)</f>
        <v>4</v>
      </c>
      <c r="B58" s="262" t="s">
        <v>66</v>
      </c>
      <c r="C58" s="263" t="s">
        <v>67</v>
      </c>
      <c r="D58" s="266">
        <f t="shared" si="17"/>
        <v>21000</v>
      </c>
      <c r="E58" s="264">
        <f t="shared" si="17"/>
        <v>0</v>
      </c>
      <c r="F58" s="265">
        <f t="shared" si="17"/>
        <v>0</v>
      </c>
      <c r="G58" s="266">
        <f t="shared" si="17"/>
        <v>21000</v>
      </c>
      <c r="H58" s="266">
        <f t="shared" si="17"/>
        <v>50000</v>
      </c>
      <c r="I58" s="264">
        <f t="shared" si="17"/>
        <v>0</v>
      </c>
      <c r="J58" s="265">
        <f t="shared" si="17"/>
        <v>0</v>
      </c>
      <c r="K58" s="266">
        <f t="shared" si="17"/>
        <v>50000</v>
      </c>
      <c r="L58" s="266">
        <f t="shared" si="17"/>
        <v>50000</v>
      </c>
      <c r="M58" s="264">
        <f t="shared" si="17"/>
        <v>0</v>
      </c>
      <c r="N58" s="265">
        <f t="shared" si="17"/>
        <v>0</v>
      </c>
      <c r="O58" s="266">
        <f t="shared" si="17"/>
        <v>50000</v>
      </c>
    </row>
    <row r="59" spans="1:15" ht="12.95" customHeight="1">
      <c r="A59" s="202">
        <f>LEN(B65)</f>
        <v>4</v>
      </c>
      <c r="B59" s="267" t="s">
        <v>329</v>
      </c>
      <c r="C59" s="268" t="s">
        <v>228</v>
      </c>
      <c r="D59" s="238">
        <v>21000</v>
      </c>
      <c r="E59" s="235">
        <v>0</v>
      </c>
      <c r="F59" s="236"/>
      <c r="G59" s="234">
        <v>21000</v>
      </c>
      <c r="H59" s="238">
        <v>50000</v>
      </c>
      <c r="I59" s="235">
        <v>0</v>
      </c>
      <c r="J59" s="236"/>
      <c r="K59" s="234">
        <f>21000+29000</f>
        <v>50000</v>
      </c>
      <c r="L59" s="238">
        <v>50000</v>
      </c>
      <c r="M59" s="235">
        <v>0</v>
      </c>
      <c r="N59" s="236"/>
      <c r="O59" s="234">
        <f>21000+29000</f>
        <v>50000</v>
      </c>
    </row>
    <row r="60" spans="1:15" ht="24" customHeight="1">
      <c r="A60" s="202" t="e">
        <f>LEN(#REF!)</f>
        <v>#REF!</v>
      </c>
      <c r="B60" s="257" t="s">
        <v>68</v>
      </c>
      <c r="C60" s="258" t="s">
        <v>330</v>
      </c>
      <c r="D60" s="261">
        <f t="shared" ref="D60:O60" si="18">D61+D68</f>
        <v>1649000</v>
      </c>
      <c r="E60" s="259">
        <f t="shared" si="18"/>
        <v>0</v>
      </c>
      <c r="F60" s="260">
        <f t="shared" si="18"/>
        <v>0</v>
      </c>
      <c r="G60" s="261">
        <f t="shared" si="18"/>
        <v>1649000</v>
      </c>
      <c r="H60" s="261">
        <f t="shared" si="18"/>
        <v>2680000</v>
      </c>
      <c r="I60" s="259">
        <f t="shared" si="18"/>
        <v>0</v>
      </c>
      <c r="J60" s="260">
        <f t="shared" si="18"/>
        <v>0</v>
      </c>
      <c r="K60" s="261">
        <f t="shared" si="18"/>
        <v>2680000</v>
      </c>
      <c r="L60" s="261">
        <f t="shared" si="18"/>
        <v>3150000</v>
      </c>
      <c r="M60" s="259">
        <f t="shared" si="18"/>
        <v>0</v>
      </c>
      <c r="N60" s="260">
        <f t="shared" si="18"/>
        <v>0</v>
      </c>
      <c r="O60" s="261">
        <f t="shared" si="18"/>
        <v>3150000</v>
      </c>
    </row>
    <row r="61" spans="1:15" ht="24" customHeight="1">
      <c r="A61" s="202" t="e">
        <f>LEN(#REF!)</f>
        <v>#REF!</v>
      </c>
      <c r="B61" s="262" t="s">
        <v>72</v>
      </c>
      <c r="C61" s="263" t="s">
        <v>28</v>
      </c>
      <c r="D61" s="266">
        <f t="shared" ref="D61:O61" si="19">SUM(D62:D67)</f>
        <v>1629000</v>
      </c>
      <c r="E61" s="264">
        <f t="shared" si="19"/>
        <v>0</v>
      </c>
      <c r="F61" s="265">
        <f t="shared" si="19"/>
        <v>0</v>
      </c>
      <c r="G61" s="266">
        <f t="shared" si="19"/>
        <v>1629000</v>
      </c>
      <c r="H61" s="266">
        <f t="shared" si="19"/>
        <v>1980000</v>
      </c>
      <c r="I61" s="264">
        <f t="shared" si="19"/>
        <v>0</v>
      </c>
      <c r="J61" s="265">
        <f t="shared" si="19"/>
        <v>0</v>
      </c>
      <c r="K61" s="266">
        <f t="shared" si="19"/>
        <v>1980000</v>
      </c>
      <c r="L61" s="266">
        <f t="shared" si="19"/>
        <v>3000000</v>
      </c>
      <c r="M61" s="264">
        <f t="shared" si="19"/>
        <v>0</v>
      </c>
      <c r="N61" s="265">
        <f t="shared" si="19"/>
        <v>0</v>
      </c>
      <c r="O61" s="266">
        <f t="shared" si="19"/>
        <v>3000000</v>
      </c>
    </row>
    <row r="62" spans="1:15" ht="12.95" customHeight="1">
      <c r="A62" s="202" t="e">
        <f>LEN(#REF!)</f>
        <v>#REF!</v>
      </c>
      <c r="B62" s="267" t="s">
        <v>331</v>
      </c>
      <c r="C62" s="268" t="s">
        <v>229</v>
      </c>
      <c r="D62" s="238">
        <v>180000</v>
      </c>
      <c r="E62" s="235"/>
      <c r="F62" s="236"/>
      <c r="G62" s="238">
        <v>180000</v>
      </c>
      <c r="H62" s="238">
        <v>300000</v>
      </c>
      <c r="I62" s="235"/>
      <c r="J62" s="236"/>
      <c r="K62" s="238">
        <f>180000+120000</f>
        <v>300000</v>
      </c>
      <c r="L62" s="238">
        <v>420000</v>
      </c>
      <c r="M62" s="235"/>
      <c r="N62" s="236"/>
      <c r="O62" s="238">
        <v>420000</v>
      </c>
    </row>
    <row r="63" spans="1:15" ht="12.95" customHeight="1">
      <c r="A63" s="202" t="e">
        <f>LEN(#REF!)</f>
        <v>#REF!</v>
      </c>
      <c r="B63" s="267" t="s">
        <v>332</v>
      </c>
      <c r="C63" s="268" t="s">
        <v>230</v>
      </c>
      <c r="D63" s="238">
        <v>50000</v>
      </c>
      <c r="E63" s="235"/>
      <c r="F63" s="236"/>
      <c r="G63" s="238">
        <v>50000</v>
      </c>
      <c r="H63" s="238">
        <v>70000</v>
      </c>
      <c r="I63" s="235"/>
      <c r="J63" s="236"/>
      <c r="K63" s="238">
        <f>50000+20000</f>
        <v>70000</v>
      </c>
      <c r="L63" s="238">
        <v>70000</v>
      </c>
      <c r="M63" s="235"/>
      <c r="N63" s="236"/>
      <c r="O63" s="238">
        <f>50000+20000</f>
        <v>70000</v>
      </c>
    </row>
    <row r="64" spans="1:15" ht="12.95" customHeight="1">
      <c r="A64" s="202" t="e">
        <f>LEN(#REF!)</f>
        <v>#REF!</v>
      </c>
      <c r="B64" s="267" t="s">
        <v>333</v>
      </c>
      <c r="C64" s="268" t="s">
        <v>231</v>
      </c>
      <c r="D64" s="238">
        <v>40000</v>
      </c>
      <c r="E64" s="235"/>
      <c r="F64" s="236"/>
      <c r="G64" s="238">
        <v>40000</v>
      </c>
      <c r="H64" s="238">
        <v>60000</v>
      </c>
      <c r="I64" s="235"/>
      <c r="J64" s="236"/>
      <c r="K64" s="238">
        <f>40000+20000</f>
        <v>60000</v>
      </c>
      <c r="L64" s="238">
        <v>60000</v>
      </c>
      <c r="M64" s="235"/>
      <c r="N64" s="236"/>
      <c r="O64" s="238">
        <f>40000+20000</f>
        <v>60000</v>
      </c>
    </row>
    <row r="65" spans="1:15" ht="12.95" customHeight="1">
      <c r="A65" s="202" t="e">
        <f>LEN(#REF!)</f>
        <v>#REF!</v>
      </c>
      <c r="B65" s="267" t="s">
        <v>334</v>
      </c>
      <c r="C65" s="268" t="s">
        <v>232</v>
      </c>
      <c r="D65" s="271">
        <f>330000+747000+140000</f>
        <v>1217000</v>
      </c>
      <c r="E65" s="269"/>
      <c r="F65" s="270"/>
      <c r="G65" s="271">
        <f>330000+887000</f>
        <v>1217000</v>
      </c>
      <c r="H65" s="271">
        <v>1500000</v>
      </c>
      <c r="I65" s="269"/>
      <c r="J65" s="270"/>
      <c r="K65" s="271">
        <f>330000+887000+283000</f>
        <v>1500000</v>
      </c>
      <c r="L65" s="271">
        <v>2400000</v>
      </c>
      <c r="M65" s="269"/>
      <c r="N65" s="270"/>
      <c r="O65" s="271">
        <v>2400000</v>
      </c>
    </row>
    <row r="66" spans="1:15" ht="12.95" customHeight="1">
      <c r="A66" s="202" t="e">
        <f>LEN(#REF!)</f>
        <v>#REF!</v>
      </c>
      <c r="B66" s="267" t="s">
        <v>335</v>
      </c>
      <c r="C66" s="268" t="s">
        <v>233</v>
      </c>
      <c r="D66" s="271">
        <v>0</v>
      </c>
      <c r="E66" s="269"/>
      <c r="F66" s="270"/>
      <c r="G66" s="271">
        <v>0</v>
      </c>
      <c r="H66" s="271">
        <v>0</v>
      </c>
      <c r="I66" s="269"/>
      <c r="J66" s="270"/>
      <c r="K66" s="271">
        <v>0</v>
      </c>
      <c r="L66" s="271">
        <v>0</v>
      </c>
      <c r="M66" s="269"/>
      <c r="N66" s="270"/>
      <c r="O66" s="271">
        <v>0</v>
      </c>
    </row>
    <row r="67" spans="1:15" ht="12.95" customHeight="1">
      <c r="A67" s="202">
        <f>LEN(B69)</f>
        <v>4</v>
      </c>
      <c r="B67" s="267" t="s">
        <v>336</v>
      </c>
      <c r="C67" s="268" t="s">
        <v>337</v>
      </c>
      <c r="D67" s="271">
        <f>39000+103000</f>
        <v>142000</v>
      </c>
      <c r="E67" s="269"/>
      <c r="F67" s="270"/>
      <c r="G67" s="271">
        <f>39000+103000</f>
        <v>142000</v>
      </c>
      <c r="H67" s="271">
        <v>50000</v>
      </c>
      <c r="I67" s="269"/>
      <c r="J67" s="270"/>
      <c r="K67" s="271">
        <f>39000+103000-92000</f>
        <v>50000</v>
      </c>
      <c r="L67" s="271">
        <v>50000</v>
      </c>
      <c r="M67" s="269"/>
      <c r="N67" s="270"/>
      <c r="O67" s="271">
        <f>39000+103000-92000</f>
        <v>50000</v>
      </c>
    </row>
    <row r="68" spans="1:15" ht="24" customHeight="1">
      <c r="A68" s="202" t="e">
        <f>LEN(#REF!)</f>
        <v>#REF!</v>
      </c>
      <c r="B68" s="262" t="s">
        <v>77</v>
      </c>
      <c r="C68" s="263" t="s">
        <v>338</v>
      </c>
      <c r="D68" s="295">
        <f t="shared" ref="D68:O68" si="20">SUM(D69:D70)</f>
        <v>20000</v>
      </c>
      <c r="E68" s="272">
        <f t="shared" si="20"/>
        <v>0</v>
      </c>
      <c r="F68" s="273">
        <f t="shared" si="20"/>
        <v>0</v>
      </c>
      <c r="G68" s="274">
        <f t="shared" si="20"/>
        <v>20000</v>
      </c>
      <c r="H68" s="295">
        <f t="shared" si="20"/>
        <v>700000</v>
      </c>
      <c r="I68" s="272">
        <f t="shared" si="20"/>
        <v>0</v>
      </c>
      <c r="J68" s="273">
        <f t="shared" si="20"/>
        <v>0</v>
      </c>
      <c r="K68" s="274">
        <f t="shared" si="20"/>
        <v>700000</v>
      </c>
      <c r="L68" s="295">
        <f t="shared" si="20"/>
        <v>150000</v>
      </c>
      <c r="M68" s="272">
        <f t="shared" si="20"/>
        <v>0</v>
      </c>
      <c r="N68" s="273">
        <f t="shared" si="20"/>
        <v>0</v>
      </c>
      <c r="O68" s="274">
        <f t="shared" si="20"/>
        <v>150000</v>
      </c>
    </row>
    <row r="69" spans="1:15" ht="12.95" customHeight="1">
      <c r="A69" s="202" t="e">
        <f>LEN(#REF!)</f>
        <v>#REF!</v>
      </c>
      <c r="B69" s="267" t="s">
        <v>339</v>
      </c>
      <c r="C69" s="268" t="s">
        <v>340</v>
      </c>
      <c r="D69" s="238">
        <v>20000</v>
      </c>
      <c r="E69" s="235"/>
      <c r="F69" s="236"/>
      <c r="G69" s="238">
        <v>20000</v>
      </c>
      <c r="H69" s="238">
        <v>700000</v>
      </c>
      <c r="I69" s="235"/>
      <c r="J69" s="236"/>
      <c r="K69" s="238">
        <f>20000+680000</f>
        <v>700000</v>
      </c>
      <c r="L69" s="238">
        <v>150000</v>
      </c>
      <c r="M69" s="235"/>
      <c r="N69" s="236"/>
      <c r="O69" s="238">
        <v>150000</v>
      </c>
    </row>
    <row r="70" spans="1:15" ht="12.95" customHeight="1">
      <c r="A70" s="202" t="e">
        <f>LEN(#REF!)</f>
        <v>#REF!</v>
      </c>
      <c r="B70" s="267" t="s">
        <v>341</v>
      </c>
      <c r="C70" s="268" t="s">
        <v>342</v>
      </c>
      <c r="D70" s="238">
        <v>0</v>
      </c>
      <c r="E70" s="235"/>
      <c r="F70" s="236"/>
      <c r="G70" s="234">
        <v>0</v>
      </c>
      <c r="H70" s="238">
        <v>0</v>
      </c>
      <c r="I70" s="235"/>
      <c r="J70" s="236"/>
      <c r="K70" s="234">
        <v>0</v>
      </c>
      <c r="L70" s="238">
        <v>0</v>
      </c>
      <c r="M70" s="235"/>
      <c r="N70" s="236"/>
      <c r="O70" s="234">
        <v>0</v>
      </c>
    </row>
    <row r="71" spans="1:15" ht="24" customHeight="1">
      <c r="B71" s="298">
        <v>5</v>
      </c>
      <c r="C71" s="312" t="s">
        <v>343</v>
      </c>
      <c r="D71" s="277">
        <f t="shared" ref="D71:O73" si="21">SUM(D72)</f>
        <v>1049750</v>
      </c>
      <c r="E71" s="275">
        <f t="shared" si="21"/>
        <v>0</v>
      </c>
      <c r="F71" s="276">
        <f t="shared" si="21"/>
        <v>0</v>
      </c>
      <c r="G71" s="277">
        <f t="shared" si="21"/>
        <v>1049750</v>
      </c>
      <c r="H71" s="277">
        <f t="shared" si="21"/>
        <v>1049750</v>
      </c>
      <c r="I71" s="275">
        <f t="shared" si="21"/>
        <v>0</v>
      </c>
      <c r="J71" s="276">
        <f t="shared" si="21"/>
        <v>0</v>
      </c>
      <c r="K71" s="277">
        <f t="shared" si="21"/>
        <v>1049750</v>
      </c>
      <c r="L71" s="277">
        <f t="shared" si="21"/>
        <v>1049750</v>
      </c>
      <c r="M71" s="275">
        <f t="shared" si="21"/>
        <v>0</v>
      </c>
      <c r="N71" s="276">
        <f t="shared" si="21"/>
        <v>0</v>
      </c>
      <c r="O71" s="277">
        <f t="shared" si="21"/>
        <v>1049750</v>
      </c>
    </row>
    <row r="72" spans="1:15" ht="24" customHeight="1">
      <c r="B72" s="300">
        <v>54</v>
      </c>
      <c r="C72" s="313" t="s">
        <v>344</v>
      </c>
      <c r="D72" s="280">
        <f t="shared" si="21"/>
        <v>1049750</v>
      </c>
      <c r="E72" s="278">
        <f t="shared" si="21"/>
        <v>0</v>
      </c>
      <c r="F72" s="279">
        <f t="shared" si="21"/>
        <v>0</v>
      </c>
      <c r="G72" s="280">
        <f t="shared" si="21"/>
        <v>1049750</v>
      </c>
      <c r="H72" s="280">
        <f t="shared" si="21"/>
        <v>1049750</v>
      </c>
      <c r="I72" s="278">
        <f t="shared" si="21"/>
        <v>0</v>
      </c>
      <c r="J72" s="279">
        <f t="shared" si="21"/>
        <v>0</v>
      </c>
      <c r="K72" s="280">
        <f t="shared" si="21"/>
        <v>1049750</v>
      </c>
      <c r="L72" s="280">
        <f t="shared" si="21"/>
        <v>1049750</v>
      </c>
      <c r="M72" s="278">
        <f t="shared" si="21"/>
        <v>0</v>
      </c>
      <c r="N72" s="279">
        <f t="shared" si="21"/>
        <v>0</v>
      </c>
      <c r="O72" s="280">
        <f t="shared" si="21"/>
        <v>1049750</v>
      </c>
    </row>
    <row r="73" spans="1:15" ht="24" customHeight="1">
      <c r="B73" s="301">
        <v>544</v>
      </c>
      <c r="C73" s="314" t="s">
        <v>345</v>
      </c>
      <c r="D73" s="283">
        <f t="shared" si="21"/>
        <v>1049750</v>
      </c>
      <c r="E73" s="281">
        <f t="shared" si="21"/>
        <v>0</v>
      </c>
      <c r="F73" s="282">
        <f t="shared" si="21"/>
        <v>0</v>
      </c>
      <c r="G73" s="283">
        <f t="shared" si="21"/>
        <v>1049750</v>
      </c>
      <c r="H73" s="283">
        <f t="shared" si="21"/>
        <v>1049750</v>
      </c>
      <c r="I73" s="281">
        <f t="shared" si="21"/>
        <v>0</v>
      </c>
      <c r="J73" s="282">
        <f t="shared" si="21"/>
        <v>0</v>
      </c>
      <c r="K73" s="283">
        <f t="shared" si="21"/>
        <v>1049750</v>
      </c>
      <c r="L73" s="283">
        <f t="shared" si="21"/>
        <v>1049750</v>
      </c>
      <c r="M73" s="281">
        <f t="shared" si="21"/>
        <v>0</v>
      </c>
      <c r="N73" s="282">
        <f t="shared" si="21"/>
        <v>0</v>
      </c>
      <c r="O73" s="283">
        <f t="shared" si="21"/>
        <v>1049750</v>
      </c>
    </row>
    <row r="74" spans="1:15" ht="12.95" customHeight="1" thickBot="1">
      <c r="B74" s="284">
        <v>5443</v>
      </c>
      <c r="C74" s="285" t="s">
        <v>346</v>
      </c>
      <c r="D74" s="296">
        <v>1049750</v>
      </c>
      <c r="E74" s="286"/>
      <c r="F74" s="287"/>
      <c r="G74" s="296">
        <v>1049750</v>
      </c>
      <c r="H74" s="296">
        <v>1049750</v>
      </c>
      <c r="I74" s="286"/>
      <c r="J74" s="287"/>
      <c r="K74" s="296">
        <v>1049750</v>
      </c>
      <c r="L74" s="296">
        <v>1049750</v>
      </c>
      <c r="M74" s="286"/>
      <c r="N74" s="287"/>
      <c r="O74" s="288">
        <v>1049750</v>
      </c>
    </row>
    <row r="75" spans="1:15" ht="24" customHeight="1" thickBot="1">
      <c r="C75" s="289" t="s">
        <v>245</v>
      </c>
      <c r="D75" s="297">
        <f t="shared" ref="D75:O75" si="22">D56+D4+D71</f>
        <v>65572750</v>
      </c>
      <c r="E75" s="290">
        <f t="shared" si="22"/>
        <v>52920000</v>
      </c>
      <c r="F75" s="291">
        <f t="shared" si="22"/>
        <v>9083000</v>
      </c>
      <c r="G75" s="291">
        <f t="shared" si="22"/>
        <v>3569750</v>
      </c>
      <c r="H75" s="297">
        <f t="shared" si="22"/>
        <v>69000000</v>
      </c>
      <c r="I75" s="290">
        <f t="shared" si="22"/>
        <v>53435000</v>
      </c>
      <c r="J75" s="291">
        <f t="shared" si="22"/>
        <v>10585250</v>
      </c>
      <c r="K75" s="291">
        <f t="shared" si="22"/>
        <v>4979750</v>
      </c>
      <c r="L75" s="297">
        <f t="shared" si="22"/>
        <v>72135000</v>
      </c>
      <c r="M75" s="290">
        <f t="shared" si="22"/>
        <v>54170000</v>
      </c>
      <c r="N75" s="291">
        <f t="shared" si="22"/>
        <v>13365250</v>
      </c>
      <c r="O75" s="291">
        <f t="shared" si="22"/>
        <v>4599750</v>
      </c>
    </row>
    <row r="77" spans="1:15">
      <c r="H77" s="292"/>
      <c r="L77" s="292"/>
    </row>
  </sheetData>
  <pageMargins left="0.19685039370078741" right="0.11811023622047245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6</vt:i4>
      </vt:variant>
    </vt:vector>
  </HeadingPairs>
  <TitlesOfParts>
    <vt:vector size="14" baseType="lpstr">
      <vt:lpstr>Sažetak općeg dijela</vt:lpstr>
      <vt:lpstr>Opći dio - Prihodi</vt:lpstr>
      <vt:lpstr>Opći dio - Rashodi</vt:lpstr>
      <vt:lpstr>Plan prih.2021-2023 po izvorima</vt:lpstr>
      <vt:lpstr>Plan rash.i izd.2021 po izvori </vt:lpstr>
      <vt:lpstr>Plan rash.i izd.2022 po izvorim</vt:lpstr>
      <vt:lpstr>Plan rash.i izd.2023 po izvorim</vt:lpstr>
      <vt:lpstr>rashodi po god. 21-23</vt:lpstr>
      <vt:lpstr>'Plan rash.i izd.2021 po izvori '!Ispis_naslova</vt:lpstr>
      <vt:lpstr>'Plan rash.i izd.2022 po izvorim'!Ispis_naslova</vt:lpstr>
      <vt:lpstr>'Plan rash.i izd.2023 po izvorim'!Ispis_naslova</vt:lpstr>
      <vt:lpstr>'rashodi po god. 21-23'!Ispis_naslova</vt:lpstr>
      <vt:lpstr>'Plan rash.i izd.2021 po izvori 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csamsa</cp:lastModifiedBy>
  <cp:lastPrinted>2020-12-07T10:39:27Z</cp:lastPrinted>
  <dcterms:created xsi:type="dcterms:W3CDTF">2013-09-11T11:00:21Z</dcterms:created>
  <dcterms:modified xsi:type="dcterms:W3CDTF">2020-12-10T06:43:44Z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