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 activeTab="1"/>
  </bookViews>
  <sheets>
    <sheet name="PRIHODI - REBALANS 2" sheetId="5" r:id="rId1"/>
    <sheet name="RASHODI - REBALANS 2" sheetId="24" r:id="rId2"/>
    <sheet name="List1" sheetId="25" r:id="rId3"/>
  </sheets>
  <definedNames>
    <definedName name="_xlnm.Print_Titles" localSheetId="1">'RASHODI - REBALANS 2'!$1:$3</definedName>
  </definedNames>
  <calcPr calcId="124519"/>
</workbook>
</file>

<file path=xl/calcChain.xml><?xml version="1.0" encoding="utf-8"?>
<calcChain xmlns="http://schemas.openxmlformats.org/spreadsheetml/2006/main">
  <c r="J7" i="2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7"/>
  <c r="J68"/>
  <c r="J69"/>
  <c r="J71"/>
  <c r="J72"/>
  <c r="J73"/>
  <c r="J74"/>
  <c r="J75"/>
  <c r="J5"/>
  <c r="J6"/>
  <c r="J4"/>
  <c r="Q7" i="5"/>
  <c r="Q9"/>
  <c r="Q10"/>
  <c r="Q11"/>
  <c r="Q12"/>
  <c r="Q14"/>
  <c r="Q16"/>
  <c r="Q17"/>
  <c r="Q18"/>
  <c r="Q19"/>
  <c r="Q20"/>
  <c r="B20"/>
  <c r="M7"/>
  <c r="M8"/>
  <c r="M9"/>
  <c r="M10"/>
  <c r="M11"/>
  <c r="M12"/>
  <c r="M13"/>
  <c r="M14"/>
  <c r="M15"/>
  <c r="M16"/>
  <c r="M17"/>
  <c r="M18"/>
  <c r="M19"/>
  <c r="M6"/>
  <c r="D20"/>
  <c r="M30" i="24" l="1"/>
  <c r="I30"/>
  <c r="K26"/>
  <c r="K30"/>
  <c r="J20" i="5"/>
  <c r="H74" i="24"/>
  <c r="H73" s="1"/>
  <c r="H72" s="1"/>
  <c r="H71" s="1"/>
  <c r="H70"/>
  <c r="H69"/>
  <c r="H63"/>
  <c r="H64"/>
  <c r="H66"/>
  <c r="H67"/>
  <c r="H62"/>
  <c r="H59"/>
  <c r="H58" s="1"/>
  <c r="H57" s="1"/>
  <c r="H53"/>
  <c r="H54"/>
  <c r="H55"/>
  <c r="H52"/>
  <c r="H50"/>
  <c r="H49" s="1"/>
  <c r="H42"/>
  <c r="H44"/>
  <c r="H46"/>
  <c r="H47"/>
  <c r="H41"/>
  <c r="H39"/>
  <c r="H38" s="1"/>
  <c r="H31"/>
  <c r="H32"/>
  <c r="H33"/>
  <c r="H34"/>
  <c r="H35"/>
  <c r="H36"/>
  <c r="H37"/>
  <c r="H29"/>
  <c r="H23"/>
  <c r="H24"/>
  <c r="H26"/>
  <c r="H27"/>
  <c r="H22"/>
  <c r="H18"/>
  <c r="H19"/>
  <c r="H20"/>
  <c r="H17"/>
  <c r="H14"/>
  <c r="H13"/>
  <c r="H11"/>
  <c r="H10" s="1"/>
  <c r="H8"/>
  <c r="H9"/>
  <c r="H7"/>
  <c r="G28"/>
  <c r="L58"/>
  <c r="M58"/>
  <c r="K58"/>
  <c r="I58"/>
  <c r="E58"/>
  <c r="D58"/>
  <c r="G58"/>
  <c r="K13"/>
  <c r="L13"/>
  <c r="K7"/>
  <c r="L7"/>
  <c r="L55"/>
  <c r="K55"/>
  <c r="L53"/>
  <c r="L50"/>
  <c r="K47"/>
  <c r="L47"/>
  <c r="K45"/>
  <c r="L45"/>
  <c r="L44"/>
  <c r="L42"/>
  <c r="L36"/>
  <c r="K44"/>
  <c r="K42"/>
  <c r="K41"/>
  <c r="K39"/>
  <c r="K36"/>
  <c r="K35"/>
  <c r="L35"/>
  <c r="K34"/>
  <c r="L34"/>
  <c r="K33"/>
  <c r="L33"/>
  <c r="L30"/>
  <c r="L29"/>
  <c r="K29"/>
  <c r="L27"/>
  <c r="K27"/>
  <c r="L26"/>
  <c r="K24"/>
  <c r="L24"/>
  <c r="K23"/>
  <c r="L23"/>
  <c r="K22"/>
  <c r="L22"/>
  <c r="K19"/>
  <c r="L19"/>
  <c r="K18"/>
  <c r="L18"/>
  <c r="K17"/>
  <c r="L17"/>
  <c r="K11"/>
  <c r="L11"/>
  <c r="K9"/>
  <c r="L9"/>
  <c r="K8"/>
  <c r="K52"/>
  <c r="L52"/>
  <c r="L37"/>
  <c r="K37"/>
  <c r="L32"/>
  <c r="K32"/>
  <c r="K31"/>
  <c r="L31"/>
  <c r="L25"/>
  <c r="K25"/>
  <c r="M69"/>
  <c r="M67"/>
  <c r="M64"/>
  <c r="M63"/>
  <c r="M62"/>
  <c r="M65"/>
  <c r="H6" l="1"/>
  <c r="H12"/>
  <c r="H16"/>
  <c r="H51"/>
  <c r="H48" s="1"/>
  <c r="H68"/>
  <c r="F20" i="5"/>
  <c r="G20"/>
  <c r="H20"/>
  <c r="I20"/>
  <c r="K20"/>
  <c r="L20"/>
  <c r="E20"/>
  <c r="P9"/>
  <c r="P11"/>
  <c r="P14"/>
  <c r="O18"/>
  <c r="O19"/>
  <c r="P19" s="1"/>
  <c r="P17"/>
  <c r="P16"/>
  <c r="P12"/>
  <c r="P10"/>
  <c r="N9"/>
  <c r="N20" s="1"/>
  <c r="I73" i="24"/>
  <c r="I68"/>
  <c r="I65"/>
  <c r="H65" s="1"/>
  <c r="H61" s="1"/>
  <c r="I51"/>
  <c r="I49"/>
  <c r="I45"/>
  <c r="I43"/>
  <c r="I38"/>
  <c r="I25"/>
  <c r="I16"/>
  <c r="I12"/>
  <c r="I10"/>
  <c r="I6"/>
  <c r="K73"/>
  <c r="K72" s="1"/>
  <c r="K71" s="1"/>
  <c r="L73"/>
  <c r="M73"/>
  <c r="M72" s="1"/>
  <c r="M71" s="1"/>
  <c r="K68"/>
  <c r="L68"/>
  <c r="M68"/>
  <c r="K61"/>
  <c r="L61"/>
  <c r="M61"/>
  <c r="L57"/>
  <c r="M57"/>
  <c r="K51"/>
  <c r="L51"/>
  <c r="M51"/>
  <c r="K49"/>
  <c r="L49"/>
  <c r="M49"/>
  <c r="K40"/>
  <c r="L40"/>
  <c r="M40"/>
  <c r="K38"/>
  <c r="L38"/>
  <c r="M38"/>
  <c r="K28"/>
  <c r="L28"/>
  <c r="M28"/>
  <c r="K21"/>
  <c r="L21"/>
  <c r="M21"/>
  <c r="K16"/>
  <c r="L16"/>
  <c r="M16"/>
  <c r="K12"/>
  <c r="L12"/>
  <c r="M12"/>
  <c r="K10"/>
  <c r="L10"/>
  <c r="M10"/>
  <c r="K6"/>
  <c r="L6"/>
  <c r="M6"/>
  <c r="F74"/>
  <c r="F73" s="1"/>
  <c r="F72" s="1"/>
  <c r="F71" s="1"/>
  <c r="G73"/>
  <c r="G72" s="1"/>
  <c r="G71" s="1"/>
  <c r="E73"/>
  <c r="D73"/>
  <c r="D72" s="1"/>
  <c r="D71" s="1"/>
  <c r="E72"/>
  <c r="E71" s="1"/>
  <c r="A70"/>
  <c r="E69"/>
  <c r="F69" s="1"/>
  <c r="F68" s="1"/>
  <c r="A69"/>
  <c r="G68"/>
  <c r="D68"/>
  <c r="A68"/>
  <c r="E67"/>
  <c r="F67" s="1"/>
  <c r="A67"/>
  <c r="F66"/>
  <c r="A66"/>
  <c r="E65"/>
  <c r="F65" s="1"/>
  <c r="A65"/>
  <c r="E64"/>
  <c r="F64" s="1"/>
  <c r="A64"/>
  <c r="E63"/>
  <c r="F63" s="1"/>
  <c r="A63"/>
  <c r="E62"/>
  <c r="F62" s="1"/>
  <c r="A62"/>
  <c r="G61"/>
  <c r="D61"/>
  <c r="A61"/>
  <c r="A60"/>
  <c r="F59"/>
  <c r="A59"/>
  <c r="G57"/>
  <c r="E57"/>
  <c r="D57"/>
  <c r="A58"/>
  <c r="A57"/>
  <c r="A56"/>
  <c r="F55"/>
  <c r="F54"/>
  <c r="A54"/>
  <c r="F53"/>
  <c r="A53"/>
  <c r="F52"/>
  <c r="A52"/>
  <c r="G51"/>
  <c r="E51"/>
  <c r="D51"/>
  <c r="A51"/>
  <c r="F50"/>
  <c r="F49" s="1"/>
  <c r="G49"/>
  <c r="E49"/>
  <c r="D49"/>
  <c r="A48"/>
  <c r="F47"/>
  <c r="A47"/>
  <c r="F46"/>
  <c r="A46"/>
  <c r="F45"/>
  <c r="A45"/>
  <c r="F44"/>
  <c r="A44"/>
  <c r="F43"/>
  <c r="A43"/>
  <c r="F42"/>
  <c r="A42"/>
  <c r="F41"/>
  <c r="A41"/>
  <c r="G40"/>
  <c r="E40"/>
  <c r="D40"/>
  <c r="A40"/>
  <c r="F39"/>
  <c r="F38" s="1"/>
  <c r="A39"/>
  <c r="G38"/>
  <c r="E38"/>
  <c r="D38"/>
  <c r="A38"/>
  <c r="F37"/>
  <c r="A37"/>
  <c r="E36"/>
  <c r="F36" s="1"/>
  <c r="A36"/>
  <c r="E35"/>
  <c r="F35" s="1"/>
  <c r="A35"/>
  <c r="F34"/>
  <c r="A34"/>
  <c r="E33"/>
  <c r="F33" s="1"/>
  <c r="A33"/>
  <c r="F32"/>
  <c r="A32"/>
  <c r="F31"/>
  <c r="A31"/>
  <c r="E30"/>
  <c r="F30" s="1"/>
  <c r="A30"/>
  <c r="F29"/>
  <c r="A29"/>
  <c r="D28"/>
  <c r="A28"/>
  <c r="F27"/>
  <c r="A27"/>
  <c r="E26"/>
  <c r="F26" s="1"/>
  <c r="A26"/>
  <c r="F25"/>
  <c r="A25"/>
  <c r="F24"/>
  <c r="A24"/>
  <c r="F23"/>
  <c r="A23"/>
  <c r="F22"/>
  <c r="A22"/>
  <c r="G21"/>
  <c r="D21"/>
  <c r="A21"/>
  <c r="F20"/>
  <c r="A20"/>
  <c r="F19"/>
  <c r="A19"/>
  <c r="F18"/>
  <c r="A18"/>
  <c r="F17"/>
  <c r="A17"/>
  <c r="G16"/>
  <c r="E16"/>
  <c r="D16"/>
  <c r="A16"/>
  <c r="A15"/>
  <c r="F14"/>
  <c r="F13"/>
  <c r="F12" s="1"/>
  <c r="A13"/>
  <c r="G12"/>
  <c r="E12"/>
  <c r="D12"/>
  <c r="A12"/>
  <c r="F11"/>
  <c r="F10" s="1"/>
  <c r="A11"/>
  <c r="G10"/>
  <c r="E10"/>
  <c r="D10"/>
  <c r="A10"/>
  <c r="F9"/>
  <c r="A9"/>
  <c r="F8"/>
  <c r="A8"/>
  <c r="E7"/>
  <c r="F7" s="1"/>
  <c r="A7"/>
  <c r="G6"/>
  <c r="D6"/>
  <c r="A6"/>
  <c r="A5"/>
  <c r="A4"/>
  <c r="H60" l="1"/>
  <c r="H56" s="1"/>
  <c r="D5"/>
  <c r="E48"/>
  <c r="H5"/>
  <c r="K60"/>
  <c r="F6"/>
  <c r="F5" s="1"/>
  <c r="M60"/>
  <c r="M56" s="1"/>
  <c r="H30"/>
  <c r="H28" s="1"/>
  <c r="H45"/>
  <c r="H43"/>
  <c r="H25"/>
  <c r="H21" s="1"/>
  <c r="E21"/>
  <c r="M48"/>
  <c r="F58"/>
  <c r="F57" s="1"/>
  <c r="D60"/>
  <c r="D56" s="1"/>
  <c r="I28"/>
  <c r="I5"/>
  <c r="I21"/>
  <c r="E68"/>
  <c r="I61"/>
  <c r="I72"/>
  <c r="G60"/>
  <c r="G56" s="1"/>
  <c r="I40"/>
  <c r="G48"/>
  <c r="I57"/>
  <c r="I48"/>
  <c r="D48"/>
  <c r="K57"/>
  <c r="L72"/>
  <c r="L48"/>
  <c r="L5"/>
  <c r="K5"/>
  <c r="L15"/>
  <c r="K15"/>
  <c r="M20" i="5"/>
  <c r="O20"/>
  <c r="P18"/>
  <c r="P7"/>
  <c r="L60" i="24"/>
  <c r="L56" s="1"/>
  <c r="K48"/>
  <c r="M15"/>
  <c r="M5"/>
  <c r="E6"/>
  <c r="E5" s="1"/>
  <c r="F21"/>
  <c r="G5"/>
  <c r="F16"/>
  <c r="F28"/>
  <c r="F51"/>
  <c r="F48" s="1"/>
  <c r="D15"/>
  <c r="D4" s="1"/>
  <c r="F40"/>
  <c r="F61"/>
  <c r="F60" s="1"/>
  <c r="E28"/>
  <c r="E61"/>
  <c r="G15"/>
  <c r="K4" l="1"/>
  <c r="F56"/>
  <c r="E15"/>
  <c r="E4" s="1"/>
  <c r="M4"/>
  <c r="M75" s="1"/>
  <c r="K56"/>
  <c r="G4"/>
  <c r="G75" s="1"/>
  <c r="L4"/>
  <c r="H40"/>
  <c r="H15" s="1"/>
  <c r="H4" s="1"/>
  <c r="H75" s="1"/>
  <c r="D75"/>
  <c r="E60"/>
  <c r="E56" s="1"/>
  <c r="I71"/>
  <c r="I15"/>
  <c r="I4" s="1"/>
  <c r="I60"/>
  <c r="I56" s="1"/>
  <c r="L71"/>
  <c r="P20" i="5"/>
  <c r="F15" i="24"/>
  <c r="E75" l="1"/>
  <c r="F75"/>
  <c r="F4"/>
  <c r="K75"/>
  <c r="L75"/>
  <c r="I75" l="1"/>
</calcChain>
</file>

<file path=xl/sharedStrings.xml><?xml version="1.0" encoding="utf-8"?>
<sst xmlns="http://schemas.openxmlformats.org/spreadsheetml/2006/main" count="188" uniqueCount="185">
  <si>
    <t>Naziv</t>
  </si>
  <si>
    <t>Plaće za redovan rad</t>
  </si>
  <si>
    <t>Ostali rashodi za zaposlene</t>
  </si>
  <si>
    <t>Doprinosi za obvezno zdravstveno osiguranje</t>
  </si>
  <si>
    <t>Službena putovanja</t>
  </si>
  <si>
    <t>Stručno usavršavanje zaposlenika</t>
  </si>
  <si>
    <t>Ostale naknade troškova zaposlenima</t>
  </si>
  <si>
    <t>Materijal i sirovine</t>
  </si>
  <si>
    <t>Energija</t>
  </si>
  <si>
    <t>Sitni inventar i auto gume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</si>
  <si>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</si>
  <si>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</si>
  <si>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</si>
  <si>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</si>
  <si>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</si>
  <si>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</si>
  <si>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</si>
  <si>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</si>
  <si>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Reprezentacija</t>
  </si>
  <si>
    <t>Pristojbe i naknade</t>
  </si>
  <si>
    <t>Ostali nespomenuti rashodi poslovanja</t>
  </si>
  <si>
    <t>Ostali nespomenuti financijski rashodi</t>
  </si>
  <si>
    <t>Plaće za prekovremeni rad</t>
  </si>
  <si>
    <t>Plaće za posebne uvjete rada</t>
  </si>
  <si>
    <t>Naknade troškova osobama izvan radnog odnosa</t>
  </si>
  <si>
    <t>Premije osiguranja</t>
  </si>
  <si>
    <t>Troškovi sudskih postupaka</t>
  </si>
  <si>
    <t>Zatezne kamate</t>
  </si>
  <si>
    <t>Ostali financijski rashodi</t>
  </si>
  <si>
    <t>Licence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</si>
  <si>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</si>
  <si>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</si>
  <si>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</si>
  <si>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</si>
  <si>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</si>
  <si>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</si>
  <si>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UKUPNO</t>
  </si>
  <si>
    <t>u kunama</t>
  </si>
  <si>
    <t>Izvor prihoda i primitaka</t>
  </si>
  <si>
    <t>Oznaka                           rač.iz                                      računskog                                         plana</t>
  </si>
  <si>
    <t>Ukupno (po izvorima)</t>
  </si>
  <si>
    <t>len</t>
  </si>
  <si>
    <t>3</t>
  </si>
  <si>
    <t>Rashodi poslovanja</t>
  </si>
  <si>
    <t>31</t>
  </si>
  <si>
    <t>Rashodi za zaposlene</t>
  </si>
  <si>
    <t>311</t>
  </si>
  <si>
    <t>Plaće (Bruto)</t>
  </si>
  <si>
    <t>3111</t>
  </si>
  <si>
    <t>3113</t>
  </si>
  <si>
    <t>3114</t>
  </si>
  <si>
    <t>3121</t>
  </si>
  <si>
    <t>Doprinosi na plaće</t>
  </si>
  <si>
    <t>3132</t>
  </si>
  <si>
    <t>32</t>
  </si>
  <si>
    <t>Materijalni rashodi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</si>
  <si>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</si>
  <si>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</si>
  <si>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</si>
  <si>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</si>
  <si>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</si>
  <si>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</si>
  <si>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</si>
  <si>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</si>
  <si>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</si>
  <si>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</si>
  <si>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</si>
  <si>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</si>
  <si>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</si>
  <si>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</si>
  <si>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</si>
  <si>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</si>
  <si>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</si>
  <si>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</si>
  <si>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</si>
  <si>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</si>
  <si>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</si>
  <si>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</si>
  <si>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</si>
  <si>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</si>
  <si>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</si>
  <si>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</si>
  <si>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3241</t>
  </si>
  <si>
    <t>329</t>
  </si>
  <si>
    <t>3291</t>
  </si>
  <si>
    <t>Naknade za rad predst.i izvrš. tijela, povjer. i slično</t>
  </si>
  <si>
    <t>3292</t>
  </si>
  <si>
    <t>3293</t>
  </si>
  <si>
    <t>3294</t>
  </si>
  <si>
    <t>Članarine i norme</t>
  </si>
  <si>
    <t>3295</t>
  </si>
  <si>
    <t>3296</t>
  </si>
  <si>
    <t>3299</t>
  </si>
  <si>
    <t>34</t>
  </si>
  <si>
    <t>Financijski rashodi</t>
  </si>
  <si>
    <t>Kamate za primlj. Kredite</t>
  </si>
  <si>
    <t>343</t>
  </si>
  <si>
    <t>3431</t>
  </si>
  <si>
    <t>3432</t>
  </si>
  <si>
    <t>3433</t>
  </si>
  <si>
    <t>3434</t>
  </si>
  <si>
    <t>4</t>
  </si>
  <si>
    <t>Rashodi za nabavu nefinancijske imovine</t>
  </si>
  <si>
    <t>41</t>
  </si>
  <si>
    <t>412</t>
  </si>
  <si>
    <t>Nematerijalna imovina</t>
  </si>
  <si>
    <t>4123</t>
  </si>
  <si>
    <t>42</t>
  </si>
  <si>
    <t>422</t>
  </si>
  <si>
    <t>Postrojenja i oprema</t>
  </si>
  <si>
    <t>4221</t>
  </si>
  <si>
    <t>4222</t>
  </si>
  <si>
    <t>4223</t>
  </si>
  <si>
    <t>4224</t>
  </si>
  <si>
    <t>4225</t>
  </si>
  <si>
    <t>4227</t>
  </si>
  <si>
    <t>426</t>
  </si>
  <si>
    <t>Nematerijalna proizvedena imovina</t>
  </si>
  <si>
    <t>4262</t>
  </si>
  <si>
    <t>Ulaganja u računalne programe</t>
  </si>
  <si>
    <t>4264</t>
  </si>
  <si>
    <t>Izd. Za financ.imov.i otplate zajmova</t>
  </si>
  <si>
    <t>Izdaci za otpl. Glavn. Primljenih zajmova</t>
  </si>
  <si>
    <t>Otplata glavn. Primlj. Zajmova od kred. Institituc.</t>
  </si>
  <si>
    <t>Otplata glavn. Primlj. Kred. Dugoročni</t>
  </si>
  <si>
    <t>PRORAČUN 2020</t>
  </si>
  <si>
    <t>PROCJENA</t>
  </si>
  <si>
    <t>INDEKS</t>
  </si>
  <si>
    <t>64132 kamate</t>
  </si>
  <si>
    <t>65264 dopunsko</t>
  </si>
  <si>
    <t>65267 refund.osig.</t>
  </si>
  <si>
    <t>66151 vlastiti prihodi</t>
  </si>
  <si>
    <t>67111 prih.za finan.rashoda-pgž</t>
  </si>
  <si>
    <t>67311 HZZO</t>
  </si>
  <si>
    <t>68311 ostali prihodi</t>
  </si>
  <si>
    <t>84432 kredit</t>
  </si>
  <si>
    <t>92211 prenesena sredstva</t>
  </si>
  <si>
    <t>Doprinosi za zapošljavanje</t>
  </si>
  <si>
    <t xml:space="preserve">Negativne tečajne razlike </t>
  </si>
  <si>
    <t>Usluge tekućeg i inv.  održavanja</t>
  </si>
  <si>
    <t>Uredski materijal i ostali mat. rashodi</t>
  </si>
  <si>
    <t>PLAN S RASP VIŠKA</t>
  </si>
  <si>
    <t>Račun iz raču. Pl.</t>
  </si>
  <si>
    <t>Nakn. za prijev. rad na ter. odv. Živ.</t>
  </si>
  <si>
    <t>Materijal i dijel. za tek. i invest. Održ.</t>
  </si>
  <si>
    <t>Službena, radna i zašt.odjeća i ob.</t>
  </si>
  <si>
    <t>Rash. za nabavu proizv. dugotr. imovine</t>
  </si>
  <si>
    <t>Ostala nematerij. Proizved. imovina</t>
  </si>
  <si>
    <t>Rash. za nabavu neproizv. Dugotr. imovine</t>
  </si>
  <si>
    <t>Bank. usluge i usluge platnog prom.</t>
  </si>
  <si>
    <t>Ostali nespomenuti rashodi posl.</t>
  </si>
  <si>
    <t xml:space="preserve">Nakn. trošk. osob. izvan radn. odnosa </t>
  </si>
  <si>
    <t>VIŠE / MANJE</t>
  </si>
  <si>
    <t>63414 pomoći od HZMO, HZZ, HZZO</t>
  </si>
  <si>
    <t>64151 pozitivne tečajne razlike</t>
  </si>
  <si>
    <t>66323 kapitalne donacije</t>
  </si>
  <si>
    <t>IZVRŠENJE 08/2020</t>
  </si>
  <si>
    <t>67121 prih za fin.ras.za nab.nefin.</t>
  </si>
  <si>
    <t>Kam. za primlj kredite od krd. Inst.</t>
  </si>
  <si>
    <t>Program 1</t>
  </si>
  <si>
    <t>Program 2</t>
  </si>
  <si>
    <t>Program 3</t>
  </si>
  <si>
    <t>66313 tekuće donacije</t>
  </si>
  <si>
    <t>2. IZMJENA I DOPUNA FINANCIJSKOG PLANA PRIHODA I PRIMITAKA ZA 2020. GODINU</t>
  </si>
  <si>
    <t>1. IZMJENA I DOPUNA PLANA PRIHODA I PRIMITAKA</t>
  </si>
  <si>
    <t>2. IZMJENA I DOPUNA FINANCIJSKOG PLANA PRIHODA I PRIMITAKA ZA 2020. GOD.</t>
  </si>
  <si>
    <t>Thalassotherapia Opatija - Specijalna bolnica za medicinsku rehabilitaciju bolesti srca, pluća i reumatizma</t>
  </si>
  <si>
    <t>2. IZMJENA ZBIRNO PLAN PRIHODA I PRIMITAKA</t>
  </si>
  <si>
    <t>INDEKS (2. izmjena u odnosu na 1. izmjenu plana)</t>
  </si>
  <si>
    <t>Porezni i ostali prihodi</t>
  </si>
  <si>
    <t>Opći prihodi i primici - DEC</t>
  </si>
  <si>
    <t>Vlastiti prihodi</t>
  </si>
  <si>
    <t>Prihodi za posebne namjene</t>
  </si>
  <si>
    <t>Pomoći</t>
  </si>
  <si>
    <t>Donacije</t>
  </si>
  <si>
    <t>Prihodi od prodaje nefinancijske imovine i nadoknade šteta s osnova osiguranja</t>
  </si>
  <si>
    <t>Namjenski primici od zaduživanja</t>
  </si>
  <si>
    <t>Prenesena sredstva iz prethodne godine</t>
  </si>
  <si>
    <t>PREDSJEDNICA UPRAVNOG VIJEĆA</t>
  </si>
  <si>
    <t>____________________________________</t>
  </si>
  <si>
    <t>Prof.dr.sc. Romana Jerković, dr.med.</t>
  </si>
  <si>
    <t>1. IZMJENA I DOPUNA</t>
  </si>
  <si>
    <t>2. IZMJENA I DOPUNA</t>
  </si>
  <si>
    <t>2. IZMJENA I DOPUNA FINANCIJSKOG PLANA RASHODA I IZDATAKA ZA 2020. GOD.</t>
  </si>
  <si>
    <t>INDEKS (2 izmjena u odnosu na 1. izmjenu)</t>
  </si>
</sst>
</file>

<file path=xl/styles.xml><?xml version="1.0" encoding="utf-8"?>
<styleSheet xmlns="http://schemas.openxmlformats.org/spreadsheetml/2006/main">
  <numFmts count="2">
    <numFmt numFmtId="164" formatCode="_-* #,##0.00\ _k_n_-;\-* #,##0.00\ _k_n_-;_-* &quot;-&quot;??\ _k_n_-;_-@_-"/>
    <numFmt numFmtId="165" formatCode="#,##0_ ;\-#,##0\ "/>
  </numFmts>
  <fonts count="6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MS Sans Serif"/>
      <family val="2"/>
    </font>
    <font>
      <sz val="9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2"/>
      <color rgb="FFFF0000"/>
      <name val="Arial"/>
      <family val="2"/>
      <charset val="238"/>
    </font>
    <font>
      <i/>
      <sz val="12"/>
      <color rgb="FFFF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0" borderId="0"/>
    <xf numFmtId="0" fontId="7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5" applyNumberFormat="0" applyAlignment="0" applyProtection="0"/>
    <xf numFmtId="0" fontId="14" fillId="19" borderId="6" applyNumberFormat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5" applyNumberFormat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7" fillId="0" borderId="0"/>
    <xf numFmtId="0" fontId="1" fillId="0" borderId="0"/>
    <xf numFmtId="0" fontId="7" fillId="6" borderId="11" applyNumberFormat="0" applyFont="0" applyAlignment="0" applyProtection="0"/>
    <xf numFmtId="0" fontId="23" fillId="18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282">
    <xf numFmtId="0" fontId="0" fillId="0" borderId="0" xfId="0"/>
    <xf numFmtId="0" fontId="4" fillId="0" borderId="0" xfId="46" applyNumberFormat="1" applyFont="1" applyFill="1" applyBorder="1" applyAlignment="1" applyProtection="1"/>
    <xf numFmtId="1" fontId="9" fillId="0" borderId="0" xfId="46" applyNumberFormat="1" applyFont="1" applyAlignment="1">
      <alignment wrapText="1"/>
    </xf>
    <xf numFmtId="0" fontId="9" fillId="0" borderId="0" xfId="46" applyFont="1"/>
    <xf numFmtId="0" fontId="9" fillId="0" borderId="0" xfId="46" applyFont="1" applyAlignment="1">
      <alignment horizontal="right"/>
    </xf>
    <xf numFmtId="0" fontId="4" fillId="0" borderId="0" xfId="46" applyNumberFormat="1" applyFont="1" applyFill="1" applyBorder="1" applyAlignment="1" applyProtection="1">
      <alignment vertical="center" wrapText="1"/>
    </xf>
    <xf numFmtId="0" fontId="4" fillId="0" borderId="0" xfId="46" applyNumberFormat="1" applyFont="1" applyFill="1" applyBorder="1" applyAlignment="1" applyProtection="1">
      <alignment vertical="center"/>
    </xf>
    <xf numFmtId="0" fontId="4" fillId="0" borderId="0" xfId="46" applyNumberFormat="1" applyFont="1" applyFill="1" applyBorder="1" applyAlignment="1" applyProtection="1">
      <alignment horizontal="center" vertical="center"/>
    </xf>
    <xf numFmtId="0" fontId="27" fillId="0" borderId="0" xfId="40" applyFont="1" applyAlignment="1">
      <alignment horizontal="left" indent="1"/>
    </xf>
    <xf numFmtId="0" fontId="30" fillId="22" borderId="28" xfId="40" applyFont="1" applyFill="1" applyBorder="1" applyAlignment="1">
      <alignment horizontal="left" wrapText="1" indent="4"/>
    </xf>
    <xf numFmtId="0" fontId="29" fillId="22" borderId="29" xfId="40" applyFont="1" applyFill="1" applyBorder="1" applyAlignment="1">
      <alignment wrapText="1"/>
    </xf>
    <xf numFmtId="0" fontId="29" fillId="2" borderId="32" xfId="40" applyFont="1" applyFill="1" applyBorder="1" applyAlignment="1">
      <alignment horizontal="left" wrapText="1" indent="4"/>
    </xf>
    <xf numFmtId="0" fontId="29" fillId="2" borderId="33" xfId="40" applyFont="1" applyFill="1" applyBorder="1" applyAlignment="1">
      <alignment wrapText="1"/>
    </xf>
    <xf numFmtId="0" fontId="31" fillId="23" borderId="32" xfId="40" applyFont="1" applyFill="1" applyBorder="1" applyAlignment="1">
      <alignment wrapText="1"/>
    </xf>
    <xf numFmtId="0" fontId="31" fillId="23" borderId="33" xfId="40" applyFont="1" applyFill="1" applyBorder="1" applyAlignment="1">
      <alignment wrapText="1"/>
    </xf>
    <xf numFmtId="0" fontId="32" fillId="24" borderId="32" xfId="40" applyFont="1" applyFill="1" applyBorder="1" applyAlignment="1">
      <alignment horizontal="center" wrapText="1"/>
    </xf>
    <xf numFmtId="0" fontId="31" fillId="23" borderId="32" xfId="40" applyFont="1" applyFill="1" applyBorder="1" applyAlignment="1">
      <alignment horizontal="left" wrapText="1"/>
    </xf>
    <xf numFmtId="0" fontId="35" fillId="3" borderId="32" xfId="40" applyFont="1" applyFill="1" applyBorder="1" applyAlignment="1">
      <alignment horizontal="center" wrapText="1"/>
    </xf>
    <xf numFmtId="0" fontId="32" fillId="24" borderId="37" xfId="40" applyFont="1" applyFill="1" applyBorder="1" applyAlignment="1">
      <alignment horizontal="center" wrapText="1"/>
    </xf>
    <xf numFmtId="0" fontId="32" fillId="24" borderId="38" xfId="40" applyFont="1" applyFill="1" applyBorder="1" applyAlignment="1">
      <alignment wrapText="1"/>
    </xf>
    <xf numFmtId="0" fontId="32" fillId="24" borderId="39" xfId="40" applyFont="1" applyFill="1" applyBorder="1" applyAlignment="1">
      <alignment horizontal="center" wrapText="1"/>
    </xf>
    <xf numFmtId="0" fontId="32" fillId="24" borderId="22" xfId="40" applyFont="1" applyFill="1" applyBorder="1" applyAlignment="1">
      <alignment wrapText="1"/>
    </xf>
    <xf numFmtId="0" fontId="30" fillId="22" borderId="40" xfId="40" applyFont="1" applyFill="1" applyBorder="1" applyAlignment="1">
      <alignment horizontal="left" wrapText="1" indent="4"/>
    </xf>
    <xf numFmtId="0" fontId="29" fillId="22" borderId="40" xfId="40" applyFont="1" applyFill="1" applyBorder="1" applyAlignment="1">
      <alignment wrapText="1"/>
    </xf>
    <xf numFmtId="4" fontId="38" fillId="2" borderId="41" xfId="40" applyNumberFormat="1" applyFont="1" applyFill="1" applyBorder="1" applyAlignment="1">
      <alignment horizontal="right" wrapText="1"/>
    </xf>
    <xf numFmtId="0" fontId="31" fillId="23" borderId="41" xfId="40" applyFont="1" applyFill="1" applyBorder="1" applyAlignment="1">
      <alignment wrapText="1"/>
    </xf>
    <xf numFmtId="0" fontId="32" fillId="24" borderId="41" xfId="40" applyFont="1" applyFill="1" applyBorder="1" applyAlignment="1">
      <alignment horizontal="center" wrapText="1"/>
    </xf>
    <xf numFmtId="0" fontId="32" fillId="24" borderId="41" xfId="40" applyFont="1" applyFill="1" applyBorder="1" applyAlignment="1">
      <alignment wrapText="1"/>
    </xf>
    <xf numFmtId="0" fontId="32" fillId="22" borderId="14" xfId="40" applyFont="1" applyFill="1" applyBorder="1" applyAlignment="1">
      <alignment horizontal="center" wrapText="1"/>
    </xf>
    <xf numFmtId="0" fontId="32" fillId="22" borderId="14" xfId="40" applyFont="1" applyFill="1" applyBorder="1" applyAlignment="1">
      <alignment wrapText="1"/>
    </xf>
    <xf numFmtId="0" fontId="32" fillId="2" borderId="14" xfId="40" applyFont="1" applyFill="1" applyBorder="1" applyAlignment="1">
      <alignment horizontal="center" wrapText="1"/>
    </xf>
    <xf numFmtId="0" fontId="32" fillId="2" borderId="14" xfId="40" applyFont="1" applyFill="1" applyBorder="1" applyAlignment="1">
      <alignment wrapText="1"/>
    </xf>
    <xf numFmtId="0" fontId="32" fillId="23" borderId="14" xfId="40" applyFont="1" applyFill="1" applyBorder="1" applyAlignment="1">
      <alignment horizontal="center" wrapText="1"/>
    </xf>
    <xf numFmtId="0" fontId="32" fillId="23" borderId="14" xfId="40" applyFont="1" applyFill="1" applyBorder="1" applyAlignment="1">
      <alignment wrapText="1"/>
    </xf>
    <xf numFmtId="0" fontId="32" fillId="24" borderId="23" xfId="40" applyFont="1" applyFill="1" applyBorder="1" applyAlignment="1">
      <alignment horizontal="center" wrapText="1"/>
    </xf>
    <xf numFmtId="0" fontId="27" fillId="0" borderId="0" xfId="40" applyFont="1" applyAlignment="1"/>
    <xf numFmtId="0" fontId="42" fillId="20" borderId="1" xfId="40" applyFont="1" applyFill="1" applyBorder="1" applyAlignment="1"/>
    <xf numFmtId="0" fontId="46" fillId="0" borderId="2" xfId="46" applyFont="1" applyBorder="1" applyAlignment="1">
      <alignment wrapText="1"/>
    </xf>
    <xf numFmtId="0" fontId="46" fillId="0" borderId="1" xfId="46" applyFont="1" applyBorder="1"/>
    <xf numFmtId="0" fontId="29" fillId="0" borderId="26" xfId="40" applyFont="1" applyBorder="1" applyAlignment="1">
      <alignment horizontal="center" vertical="center" wrapText="1"/>
    </xf>
    <xf numFmtId="0" fontId="29" fillId="0" borderId="27" xfId="40" applyFont="1" applyBorder="1" applyAlignment="1">
      <alignment horizontal="center" vertical="center" wrapText="1"/>
    </xf>
    <xf numFmtId="0" fontId="32" fillId="24" borderId="33" xfId="40" applyFont="1" applyFill="1" applyBorder="1" applyAlignment="1">
      <alignment wrapText="1"/>
    </xf>
    <xf numFmtId="0" fontId="29" fillId="2" borderId="41" xfId="40" applyFont="1" applyFill="1" applyBorder="1" applyAlignment="1">
      <alignment wrapText="1"/>
    </xf>
    <xf numFmtId="1" fontId="8" fillId="21" borderId="25" xfId="46" applyNumberFormat="1" applyFont="1" applyFill="1" applyBorder="1" applyAlignment="1">
      <alignment horizontal="left" wrapText="1"/>
    </xf>
    <xf numFmtId="0" fontId="31" fillId="23" borderId="28" xfId="40" applyFont="1" applyFill="1" applyBorder="1" applyAlignment="1">
      <alignment horizontal="left" wrapText="1"/>
    </xf>
    <xf numFmtId="0" fontId="29" fillId="23" borderId="29" xfId="40" applyFont="1" applyFill="1" applyBorder="1" applyAlignment="1">
      <alignment wrapText="1"/>
    </xf>
    <xf numFmtId="164" fontId="49" fillId="0" borderId="20" xfId="50" applyFont="1" applyBorder="1"/>
    <xf numFmtId="164" fontId="49" fillId="0" borderId="17" xfId="50" applyFont="1" applyBorder="1"/>
    <xf numFmtId="164" fontId="49" fillId="0" borderId="17" xfId="50" applyFont="1" applyFill="1" applyBorder="1"/>
    <xf numFmtId="164" fontId="49" fillId="0" borderId="23" xfId="50" applyFont="1" applyBorder="1"/>
    <xf numFmtId="164" fontId="46" fillId="0" borderId="1" xfId="50" applyFont="1" applyBorder="1"/>
    <xf numFmtId="164" fontId="4" fillId="0" borderId="0" xfId="50" applyFont="1" applyFill="1" applyBorder="1" applyAlignment="1" applyProtection="1"/>
    <xf numFmtId="0" fontId="46" fillId="0" borderId="2" xfId="46" applyFont="1" applyBorder="1"/>
    <xf numFmtId="164" fontId="49" fillId="0" borderId="31" xfId="50" applyFont="1" applyBorder="1" applyAlignment="1">
      <alignment wrapText="1"/>
    </xf>
    <xf numFmtId="164" fontId="49" fillId="0" borderId="30" xfId="50" applyFont="1" applyBorder="1"/>
    <xf numFmtId="164" fontId="9" fillId="0" borderId="31" xfId="50" applyFont="1" applyBorder="1"/>
    <xf numFmtId="164" fontId="9" fillId="0" borderId="49" xfId="50" applyFont="1" applyBorder="1"/>
    <xf numFmtId="164" fontId="9" fillId="0" borderId="35" xfId="50" applyFont="1" applyBorder="1"/>
    <xf numFmtId="164" fontId="9" fillId="0" borderId="34" xfId="50" applyFont="1" applyBorder="1"/>
    <xf numFmtId="164" fontId="49" fillId="0" borderId="44" xfId="50" applyFont="1" applyBorder="1"/>
    <xf numFmtId="164" fontId="46" fillId="0" borderId="2" xfId="50" applyFont="1" applyBorder="1"/>
    <xf numFmtId="164" fontId="9" fillId="0" borderId="2" xfId="50" applyFont="1" applyBorder="1"/>
    <xf numFmtId="164" fontId="4" fillId="0" borderId="0" xfId="50" applyFont="1" applyFill="1" applyBorder="1" applyAlignment="1" applyProtection="1">
      <alignment vertical="center" wrapText="1"/>
    </xf>
    <xf numFmtId="164" fontId="4" fillId="0" borderId="0" xfId="50" applyFont="1" applyFill="1" applyBorder="1" applyAlignment="1" applyProtection="1">
      <alignment horizontal="center" vertical="center" wrapText="1"/>
    </xf>
    <xf numFmtId="164" fontId="4" fillId="0" borderId="0" xfId="50" applyFont="1" applyFill="1" applyBorder="1" applyAlignment="1" applyProtection="1">
      <alignment horizontal="left" vertical="center" wrapText="1"/>
    </xf>
    <xf numFmtId="164" fontId="9" fillId="0" borderId="0" xfId="50" applyFont="1" applyAlignment="1">
      <alignment horizontal="right"/>
    </xf>
    <xf numFmtId="164" fontId="9" fillId="0" borderId="0" xfId="50" applyFont="1" applyBorder="1"/>
    <xf numFmtId="164" fontId="4" fillId="0" borderId="0" xfId="50" applyFont="1" applyFill="1" applyBorder="1" applyAlignment="1" applyProtection="1">
      <alignment vertical="center"/>
    </xf>
    <xf numFmtId="164" fontId="4" fillId="0" borderId="0" xfId="50" applyFont="1" applyFill="1" applyBorder="1" applyAlignment="1" applyProtection="1">
      <alignment horizontal="center" vertical="center"/>
    </xf>
    <xf numFmtId="2" fontId="4" fillId="0" borderId="0" xfId="50" applyNumberFormat="1" applyFont="1" applyFill="1" applyBorder="1" applyAlignment="1" applyProtection="1">
      <alignment horizontal="center" vertical="center"/>
    </xf>
    <xf numFmtId="4" fontId="27" fillId="0" borderId="0" xfId="40" applyNumberFormat="1" applyFont="1" applyAlignment="1"/>
    <xf numFmtId="4" fontId="3" fillId="0" borderId="3" xfId="40" applyNumberFormat="1" applyFont="1" applyBorder="1" applyAlignment="1">
      <alignment horizontal="center" vertical="center" wrapText="1"/>
    </xf>
    <xf numFmtId="4" fontId="3" fillId="0" borderId="1" xfId="40" applyNumberFormat="1" applyFont="1" applyBorder="1" applyAlignment="1">
      <alignment horizontal="center" vertical="center" wrapText="1"/>
    </xf>
    <xf numFmtId="4" fontId="3" fillId="22" borderId="43" xfId="40" applyNumberFormat="1" applyFont="1" applyFill="1" applyBorder="1" applyAlignment="1">
      <alignment horizontal="right" wrapText="1"/>
    </xf>
    <xf numFmtId="4" fontId="3" fillId="22" borderId="17" xfId="40" applyNumberFormat="1" applyFont="1" applyFill="1" applyBorder="1" applyAlignment="1">
      <alignment horizontal="right" wrapText="1"/>
    </xf>
    <xf numFmtId="4" fontId="3" fillId="2" borderId="36" xfId="40" applyNumberFormat="1" applyFont="1" applyFill="1" applyBorder="1" applyAlignment="1">
      <alignment horizontal="right" wrapText="1"/>
    </xf>
    <xf numFmtId="4" fontId="5" fillId="2" borderId="14" xfId="40" applyNumberFormat="1" applyFont="1" applyFill="1" applyBorder="1" applyAlignment="1">
      <alignment wrapText="1"/>
    </xf>
    <xf numFmtId="4" fontId="40" fillId="2" borderId="34" xfId="50" applyNumberFormat="1" applyFont="1" applyFill="1" applyBorder="1" applyAlignment="1">
      <alignment wrapText="1"/>
    </xf>
    <xf numFmtId="4" fontId="3" fillId="23" borderId="36" xfId="40" applyNumberFormat="1" applyFont="1" applyFill="1" applyBorder="1" applyAlignment="1">
      <alignment horizontal="right" wrapText="1"/>
    </xf>
    <xf numFmtId="4" fontId="5" fillId="23" borderId="14" xfId="40" applyNumberFormat="1" applyFont="1" applyFill="1" applyBorder="1" applyAlignment="1">
      <alignment wrapText="1"/>
    </xf>
    <xf numFmtId="4" fontId="40" fillId="23" borderId="34" xfId="50" applyNumberFormat="1" applyFont="1" applyFill="1" applyBorder="1" applyAlignment="1">
      <alignment wrapText="1"/>
    </xf>
    <xf numFmtId="4" fontId="33" fillId="0" borderId="36" xfId="40" applyNumberFormat="1" applyFont="1" applyBorder="1" applyAlignment="1">
      <alignment horizontal="right"/>
    </xf>
    <xf numFmtId="4" fontId="47" fillId="0" borderId="36" xfId="40" applyNumberFormat="1" applyFont="1" applyBorder="1" applyAlignment="1">
      <alignment horizontal="right"/>
    </xf>
    <xf numFmtId="4" fontId="27" fillId="0" borderId="14" xfId="47" applyNumberFormat="1" applyFont="1" applyFill="1" applyBorder="1" applyAlignment="1"/>
    <xf numFmtId="4" fontId="44" fillId="0" borderId="34" xfId="50" applyNumberFormat="1" applyFont="1" applyFill="1" applyBorder="1" applyAlignment="1"/>
    <xf numFmtId="4" fontId="57" fillId="0" borderId="14" xfId="50" applyNumberFormat="1" applyFont="1" applyFill="1" applyBorder="1" applyAlignment="1"/>
    <xf numFmtId="4" fontId="33" fillId="0" borderId="36" xfId="40" applyNumberFormat="1" applyFont="1" applyBorder="1" applyAlignment="1"/>
    <xf numFmtId="4" fontId="5" fillId="23" borderId="14" xfId="40" applyNumberFormat="1" applyFont="1" applyFill="1" applyBorder="1" applyAlignment="1">
      <alignment horizontal="right" wrapText="1"/>
    </xf>
    <xf numFmtId="4" fontId="40" fillId="23" borderId="34" xfId="50" applyNumberFormat="1" applyFont="1" applyFill="1" applyBorder="1" applyAlignment="1">
      <alignment horizontal="right" wrapText="1"/>
    </xf>
    <xf numFmtId="4" fontId="3" fillId="2" borderId="14" xfId="40" applyNumberFormat="1" applyFont="1" applyFill="1" applyBorder="1" applyAlignment="1">
      <alignment horizontal="right" wrapText="1"/>
    </xf>
    <xf numFmtId="4" fontId="40" fillId="2" borderId="34" xfId="50" applyNumberFormat="1" applyFont="1" applyFill="1" applyBorder="1" applyAlignment="1">
      <alignment horizontal="right" wrapText="1"/>
    </xf>
    <xf numFmtId="4" fontId="3" fillId="23" borderId="36" xfId="40" applyNumberFormat="1" applyFont="1" applyFill="1" applyBorder="1" applyAlignment="1">
      <alignment wrapText="1"/>
    </xf>
    <xf numFmtId="4" fontId="34" fillId="0" borderId="36" xfId="40" applyNumberFormat="1" applyFont="1" applyBorder="1" applyAlignment="1"/>
    <xf numFmtId="4" fontId="47" fillId="0" borderId="36" xfId="40" applyNumberFormat="1" applyFont="1" applyBorder="1" applyAlignment="1"/>
    <xf numFmtId="4" fontId="39" fillId="0" borderId="36" xfId="40" applyNumberFormat="1" applyFont="1" applyBorder="1" applyAlignment="1"/>
    <xf numFmtId="4" fontId="48" fillId="0" borderId="36" xfId="40" applyNumberFormat="1" applyFont="1" applyBorder="1" applyAlignment="1"/>
    <xf numFmtId="4" fontId="30" fillId="23" borderId="36" xfId="40" applyNumberFormat="1" applyFont="1" applyFill="1" applyBorder="1" applyAlignment="1">
      <alignment horizontal="right" wrapText="1"/>
    </xf>
    <xf numFmtId="4" fontId="29" fillId="23" borderId="14" xfId="40" applyNumberFormat="1" applyFont="1" applyFill="1" applyBorder="1" applyAlignment="1">
      <alignment wrapText="1"/>
    </xf>
    <xf numFmtId="4" fontId="37" fillId="23" borderId="34" xfId="50" applyNumberFormat="1" applyFont="1" applyFill="1" applyBorder="1" applyAlignment="1">
      <alignment wrapText="1"/>
    </xf>
    <xf numFmtId="4" fontId="3" fillId="23" borderId="43" xfId="40" applyNumberFormat="1" applyFont="1" applyFill="1" applyBorder="1" applyAlignment="1">
      <alignment wrapText="1"/>
    </xf>
    <xf numFmtId="4" fontId="5" fillId="23" borderId="17" xfId="40" applyNumberFormat="1" applyFont="1" applyFill="1" applyBorder="1" applyAlignment="1">
      <alignment wrapText="1"/>
    </xf>
    <xf numFmtId="4" fontId="40" fillId="23" borderId="49" xfId="50" applyNumberFormat="1" applyFont="1" applyFill="1" applyBorder="1" applyAlignment="1">
      <alignment wrapText="1"/>
    </xf>
    <xf numFmtId="4" fontId="27" fillId="0" borderId="14" xfId="40" applyNumberFormat="1" applyFont="1" applyBorder="1" applyAlignment="1"/>
    <xf numFmtId="4" fontId="44" fillId="0" borderId="34" xfId="50" applyNumberFormat="1" applyFont="1" applyBorder="1" applyAlignment="1"/>
    <xf numFmtId="4" fontId="37" fillId="22" borderId="30" xfId="40" applyNumberFormat="1" applyFont="1" applyFill="1" applyBorder="1" applyAlignment="1">
      <alignment horizontal="right" wrapText="1"/>
    </xf>
    <xf numFmtId="4" fontId="37" fillId="2" borderId="34" xfId="40" applyNumberFormat="1" applyFont="1" applyFill="1" applyBorder="1" applyAlignment="1">
      <alignment horizontal="right" wrapText="1"/>
    </xf>
    <xf numFmtId="4" fontId="36" fillId="2" borderId="14" xfId="40" applyNumberFormat="1" applyFont="1" applyFill="1" applyBorder="1" applyAlignment="1">
      <alignment wrapText="1"/>
    </xf>
    <xf numFmtId="4" fontId="37" fillId="2" borderId="34" xfId="50" applyNumberFormat="1" applyFont="1" applyFill="1" applyBorder="1" applyAlignment="1">
      <alignment wrapText="1"/>
    </xf>
    <xf numFmtId="4" fontId="37" fillId="23" borderId="34" xfId="40" applyNumberFormat="1" applyFont="1" applyFill="1" applyBorder="1" applyAlignment="1">
      <alignment horizontal="right" wrapText="1"/>
    </xf>
    <xf numFmtId="4" fontId="36" fillId="23" borderId="14" xfId="40" applyNumberFormat="1" applyFont="1" applyFill="1" applyBorder="1" applyAlignment="1">
      <alignment wrapText="1"/>
    </xf>
    <xf numFmtId="4" fontId="39" fillId="0" borderId="36" xfId="40" applyNumberFormat="1" applyFont="1" applyBorder="1" applyAlignment="1">
      <alignment horizontal="right"/>
    </xf>
    <xf numFmtId="4" fontId="37" fillId="2" borderId="34" xfId="50" applyNumberFormat="1" applyFont="1" applyFill="1" applyBorder="1" applyAlignment="1">
      <alignment horizontal="right" wrapText="1"/>
    </xf>
    <xf numFmtId="4" fontId="48" fillId="0" borderId="36" xfId="40" applyNumberFormat="1" applyFont="1" applyBorder="1" applyAlignment="1">
      <alignment horizontal="right"/>
    </xf>
    <xf numFmtId="4" fontId="40" fillId="23" borderId="36" xfId="40" applyNumberFormat="1" applyFont="1" applyFill="1" applyBorder="1" applyAlignment="1">
      <alignment horizontal="right" wrapText="1"/>
    </xf>
    <xf numFmtId="4" fontId="6" fillId="23" borderId="14" xfId="40" applyNumberFormat="1" applyFont="1" applyFill="1" applyBorder="1" applyAlignment="1">
      <alignment wrapText="1"/>
    </xf>
    <xf numFmtId="4" fontId="51" fillId="22" borderId="36" xfId="40" applyNumberFormat="1" applyFont="1" applyFill="1" applyBorder="1" applyAlignment="1">
      <alignment horizontal="right" wrapText="1"/>
    </xf>
    <xf numFmtId="4" fontId="6" fillId="22" borderId="14" xfId="40" applyNumberFormat="1" applyFont="1" applyFill="1" applyBorder="1" applyAlignment="1">
      <alignment wrapText="1"/>
    </xf>
    <xf numFmtId="4" fontId="40" fillId="22" borderId="34" xfId="50" applyNumberFormat="1" applyFont="1" applyFill="1" applyBorder="1" applyAlignment="1">
      <alignment wrapText="1"/>
    </xf>
    <xf numFmtId="4" fontId="51" fillId="2" borderId="36" xfId="40" applyNumberFormat="1" applyFont="1" applyFill="1" applyBorder="1" applyAlignment="1">
      <alignment horizontal="right" wrapText="1"/>
    </xf>
    <xf numFmtId="4" fontId="6" fillId="2" borderId="14" xfId="40" applyNumberFormat="1" applyFont="1" applyFill="1" applyBorder="1" applyAlignment="1">
      <alignment wrapText="1"/>
    </xf>
    <xf numFmtId="4" fontId="41" fillId="23" borderId="36" xfId="40" applyNumberFormat="1" applyFont="1" applyFill="1" applyBorder="1" applyAlignment="1">
      <alignment horizontal="right" wrapText="1"/>
    </xf>
    <xf numFmtId="4" fontId="45" fillId="23" borderId="14" xfId="40" applyNumberFormat="1" applyFont="1" applyFill="1" applyBorder="1" applyAlignment="1">
      <alignment wrapText="1"/>
    </xf>
    <xf numFmtId="4" fontId="50" fillId="23" borderId="34" xfId="50" applyNumberFormat="1" applyFont="1" applyFill="1" applyBorder="1" applyAlignment="1">
      <alignment wrapText="1"/>
    </xf>
    <xf numFmtId="4" fontId="39" fillId="0" borderId="42" xfId="40" applyNumberFormat="1" applyFont="1" applyBorder="1" applyAlignment="1">
      <alignment horizontal="right"/>
    </xf>
    <xf numFmtId="4" fontId="27" fillId="0" borderId="15" xfId="47" applyNumberFormat="1" applyFont="1" applyFill="1" applyBorder="1" applyAlignment="1"/>
    <xf numFmtId="4" fontId="44" fillId="0" borderId="50" xfId="50" applyNumberFormat="1" applyFont="1" applyFill="1" applyBorder="1" applyAlignment="1"/>
    <xf numFmtId="4" fontId="57" fillId="0" borderId="15" xfId="50" applyNumberFormat="1" applyFont="1" applyFill="1" applyBorder="1" applyAlignment="1"/>
    <xf numFmtId="4" fontId="42" fillId="20" borderId="16" xfId="40" applyNumberFormat="1" applyFont="1" applyFill="1" applyBorder="1" applyAlignment="1">
      <alignment horizontal="right"/>
    </xf>
    <xf numFmtId="4" fontId="42" fillId="20" borderId="1" xfId="40" applyNumberFormat="1" applyFont="1" applyFill="1" applyBorder="1" applyAlignment="1"/>
    <xf numFmtId="4" fontId="42" fillId="20" borderId="16" xfId="50" applyNumberFormat="1" applyFont="1" applyFill="1" applyBorder="1" applyAlignment="1"/>
    <xf numFmtId="4" fontId="43" fillId="0" borderId="0" xfId="0" applyNumberFormat="1" applyFont="1"/>
    <xf numFmtId="4" fontId="27" fillId="0" borderId="0" xfId="50" applyNumberFormat="1" applyFont="1" applyAlignment="1"/>
    <xf numFmtId="4" fontId="43" fillId="0" borderId="0" xfId="0" applyNumberFormat="1" applyFont="1" applyBorder="1"/>
    <xf numFmtId="4" fontId="3" fillId="2" borderId="35" xfId="50" applyNumberFormat="1" applyFont="1" applyFill="1" applyBorder="1" applyAlignment="1">
      <alignment wrapText="1"/>
    </xf>
    <xf numFmtId="4" fontId="5" fillId="23" borderId="35" xfId="50" applyNumberFormat="1" applyFont="1" applyFill="1" applyBorder="1" applyAlignment="1">
      <alignment wrapText="1"/>
    </xf>
    <xf numFmtId="4" fontId="27" fillId="0" borderId="35" xfId="50" applyNumberFormat="1" applyFont="1" applyBorder="1" applyAlignment="1"/>
    <xf numFmtId="4" fontId="29" fillId="23" borderId="35" xfId="50" applyNumberFormat="1" applyFont="1" applyFill="1" applyBorder="1" applyAlignment="1">
      <alignment wrapText="1"/>
    </xf>
    <xf numFmtId="4" fontId="27" fillId="0" borderId="35" xfId="50" applyNumberFormat="1" applyFont="1" applyFill="1" applyBorder="1" applyAlignment="1"/>
    <xf numFmtId="4" fontId="37" fillId="2" borderId="35" xfId="50" applyNumberFormat="1" applyFont="1" applyFill="1" applyBorder="1" applyAlignment="1">
      <alignment wrapText="1"/>
    </xf>
    <xf numFmtId="4" fontId="36" fillId="23" borderId="35" xfId="50" applyNumberFormat="1" applyFont="1" applyFill="1" applyBorder="1" applyAlignment="1">
      <alignment wrapText="1"/>
    </xf>
    <xf numFmtId="4" fontId="6" fillId="23" borderId="35" xfId="50" applyNumberFormat="1" applyFont="1" applyFill="1" applyBorder="1" applyAlignment="1">
      <alignment wrapText="1"/>
    </xf>
    <xf numFmtId="4" fontId="40" fillId="22" borderId="35" xfId="50" applyNumberFormat="1" applyFont="1" applyFill="1" applyBorder="1" applyAlignment="1">
      <alignment wrapText="1"/>
    </xf>
    <xf numFmtId="4" fontId="40" fillId="2" borderId="35" xfId="50" applyNumberFormat="1" applyFont="1" applyFill="1" applyBorder="1" applyAlignment="1">
      <alignment wrapText="1"/>
    </xf>
    <xf numFmtId="4" fontId="45" fillId="23" borderId="35" xfId="50" applyNumberFormat="1" applyFont="1" applyFill="1" applyBorder="1" applyAlignment="1">
      <alignment wrapText="1"/>
    </xf>
    <xf numFmtId="4" fontId="3" fillId="2" borderId="14" xfId="50" applyNumberFormat="1" applyFont="1" applyFill="1" applyBorder="1" applyAlignment="1">
      <alignment wrapText="1"/>
    </xf>
    <xf numFmtId="4" fontId="5" fillId="23" borderId="14" xfId="50" applyNumberFormat="1" applyFont="1" applyFill="1" applyBorder="1" applyAlignment="1">
      <alignment wrapText="1"/>
    </xf>
    <xf numFmtId="4" fontId="27" fillId="0" borderId="14" xfId="50" applyNumberFormat="1" applyFont="1" applyBorder="1" applyAlignment="1"/>
    <xf numFmtId="4" fontId="29" fillId="23" borderId="14" xfId="50" applyNumberFormat="1" applyFont="1" applyFill="1" applyBorder="1" applyAlignment="1">
      <alignment wrapText="1"/>
    </xf>
    <xf numFmtId="4" fontId="40" fillId="2" borderId="14" xfId="50" applyNumberFormat="1" applyFont="1" applyFill="1" applyBorder="1" applyAlignment="1">
      <alignment wrapText="1"/>
    </xf>
    <xf numFmtId="4" fontId="37" fillId="2" borderId="14" xfId="50" applyNumberFormat="1" applyFont="1" applyFill="1" applyBorder="1" applyAlignment="1">
      <alignment wrapText="1"/>
    </xf>
    <xf numFmtId="4" fontId="36" fillId="23" borderId="14" xfId="50" applyNumberFormat="1" applyFont="1" applyFill="1" applyBorder="1" applyAlignment="1">
      <alignment wrapText="1"/>
    </xf>
    <xf numFmtId="4" fontId="40" fillId="23" borderId="14" xfId="50" applyNumberFormat="1" applyFont="1" applyFill="1" applyBorder="1" applyAlignment="1">
      <alignment wrapText="1"/>
    </xf>
    <xf numFmtId="4" fontId="40" fillId="22" borderId="14" xfId="50" applyNumberFormat="1" applyFont="1" applyFill="1" applyBorder="1" applyAlignment="1">
      <alignment wrapText="1"/>
    </xf>
    <xf numFmtId="4" fontId="45" fillId="23" borderId="14" xfId="50" applyNumberFormat="1" applyFont="1" applyFill="1" applyBorder="1" applyAlignment="1">
      <alignment wrapText="1"/>
    </xf>
    <xf numFmtId="4" fontId="5" fillId="23" borderId="31" xfId="50" applyNumberFormat="1" applyFont="1" applyFill="1" applyBorder="1" applyAlignment="1">
      <alignment wrapText="1"/>
    </xf>
    <xf numFmtId="4" fontId="5" fillId="23" borderId="17" xfId="50" applyNumberFormat="1" applyFont="1" applyFill="1" applyBorder="1" applyAlignment="1">
      <alignment wrapText="1"/>
    </xf>
    <xf numFmtId="0" fontId="29" fillId="2" borderId="53" xfId="40" applyFont="1" applyFill="1" applyBorder="1" applyAlignment="1"/>
    <xf numFmtId="0" fontId="29" fillId="2" borderId="54" xfId="40" applyFont="1" applyFill="1" applyBorder="1" applyAlignment="1">
      <alignment wrapText="1"/>
    </xf>
    <xf numFmtId="4" fontId="3" fillId="2" borderId="36" xfId="40" applyNumberFormat="1" applyFont="1" applyFill="1" applyBorder="1" applyAlignment="1">
      <alignment wrapText="1"/>
    </xf>
    <xf numFmtId="0" fontId="32" fillId="24" borderId="15" xfId="40" applyFont="1" applyFill="1" applyBorder="1" applyAlignment="1">
      <alignment wrapText="1"/>
    </xf>
    <xf numFmtId="4" fontId="27" fillId="0" borderId="44" xfId="50" applyNumberFormat="1" applyFont="1" applyBorder="1" applyAlignment="1"/>
    <xf numFmtId="4" fontId="27" fillId="0" borderId="15" xfId="50" applyNumberFormat="1" applyFont="1" applyBorder="1" applyAlignment="1"/>
    <xf numFmtId="4" fontId="42" fillId="20" borderId="1" xfId="50" applyNumberFormat="1" applyFont="1" applyFill="1" applyBorder="1" applyAlignment="1"/>
    <xf numFmtId="4" fontId="3" fillId="22" borderId="31" xfId="40" applyNumberFormat="1" applyFont="1" applyFill="1" applyBorder="1" applyAlignment="1">
      <alignment horizontal="right" wrapText="1"/>
    </xf>
    <xf numFmtId="4" fontId="40" fillId="23" borderId="14" xfId="50" applyNumberFormat="1" applyFont="1" applyFill="1" applyBorder="1" applyAlignment="1">
      <alignment horizontal="right" wrapText="1"/>
    </xf>
    <xf numFmtId="4" fontId="40" fillId="2" borderId="14" xfId="50" applyNumberFormat="1" applyFont="1" applyFill="1" applyBorder="1" applyAlignment="1">
      <alignment horizontal="right" wrapText="1"/>
    </xf>
    <xf numFmtId="4" fontId="37" fillId="23" borderId="14" xfId="50" applyNumberFormat="1" applyFont="1" applyFill="1" applyBorder="1" applyAlignment="1">
      <alignment wrapText="1"/>
    </xf>
    <xf numFmtId="4" fontId="40" fillId="23" borderId="17" xfId="50" applyNumberFormat="1" applyFont="1" applyFill="1" applyBorder="1" applyAlignment="1">
      <alignment wrapText="1"/>
    </xf>
    <xf numFmtId="4" fontId="37" fillId="2" borderId="14" xfId="50" applyNumberFormat="1" applyFont="1" applyFill="1" applyBorder="1" applyAlignment="1">
      <alignment horizontal="right" wrapText="1"/>
    </xf>
    <xf numFmtId="4" fontId="50" fillId="23" borderId="14" xfId="50" applyNumberFormat="1" applyFont="1" applyFill="1" applyBorder="1" applyAlignment="1">
      <alignment wrapText="1"/>
    </xf>
    <xf numFmtId="0" fontId="52" fillId="0" borderId="0" xfId="0" applyFont="1" applyBorder="1"/>
    <xf numFmtId="0" fontId="53" fillId="0" borderId="0" xfId="0" applyFont="1" applyBorder="1"/>
    <xf numFmtId="0" fontId="54" fillId="0" borderId="0" xfId="0" applyFont="1" applyBorder="1"/>
    <xf numFmtId="4" fontId="42" fillId="0" borderId="1" xfId="40" applyNumberFormat="1" applyFont="1" applyBorder="1" applyAlignment="1">
      <alignment horizontal="center" vertical="center" wrapText="1"/>
    </xf>
    <xf numFmtId="4" fontId="42" fillId="0" borderId="16" xfId="40" applyNumberFormat="1" applyFont="1" applyBorder="1" applyAlignment="1">
      <alignment horizontal="center" vertical="center" wrapText="1"/>
    </xf>
    <xf numFmtId="4" fontId="56" fillId="0" borderId="20" xfId="40" applyNumberFormat="1" applyFont="1" applyBorder="1" applyAlignment="1">
      <alignment horizontal="center" vertical="center"/>
    </xf>
    <xf numFmtId="4" fontId="42" fillId="25" borderId="2" xfId="40" applyNumberFormat="1" applyFont="1" applyFill="1" applyBorder="1" applyAlignment="1">
      <alignment horizontal="center" vertical="center" wrapText="1"/>
    </xf>
    <xf numFmtId="4" fontId="27" fillId="0" borderId="0" xfId="40" applyNumberFormat="1" applyFont="1" applyAlignment="1">
      <alignment horizontal="left" indent="1"/>
    </xf>
    <xf numFmtId="1" fontId="8" fillId="0" borderId="16" xfId="46" applyNumberFormat="1" applyFont="1" applyBorder="1" applyAlignment="1">
      <alignment wrapText="1"/>
    </xf>
    <xf numFmtId="4" fontId="42" fillId="25" borderId="2" xfId="50" applyNumberFormat="1" applyFont="1" applyFill="1" applyBorder="1" applyAlignment="1"/>
    <xf numFmtId="164" fontId="52" fillId="0" borderId="0" xfId="50" applyFont="1" applyBorder="1"/>
    <xf numFmtId="164" fontId="0" fillId="0" borderId="0" xfId="50" applyFont="1" applyBorder="1"/>
    <xf numFmtId="164" fontId="53" fillId="0" borderId="0" xfId="50" applyFont="1" applyBorder="1"/>
    <xf numFmtId="164" fontId="54" fillId="0" borderId="0" xfId="50" applyFont="1" applyBorder="1"/>
    <xf numFmtId="1" fontId="8" fillId="21" borderId="55" xfId="46" applyNumberFormat="1" applyFont="1" applyFill="1" applyBorder="1" applyAlignment="1">
      <alignment horizontal="right" vertical="top" wrapText="1"/>
    </xf>
    <xf numFmtId="165" fontId="9" fillId="0" borderId="4" xfId="50" applyNumberFormat="1" applyFont="1" applyFill="1" applyBorder="1" applyAlignment="1">
      <alignment horizontal="right"/>
    </xf>
    <xf numFmtId="165" fontId="49" fillId="21" borderId="20" xfId="50" applyNumberFormat="1" applyFont="1" applyFill="1" applyBorder="1" applyAlignment="1">
      <alignment horizontal="right" wrapText="1"/>
    </xf>
    <xf numFmtId="165" fontId="49" fillId="21" borderId="51" xfId="50" applyNumberFormat="1" applyFont="1" applyFill="1" applyBorder="1" applyAlignment="1">
      <alignment horizontal="right" wrapText="1"/>
    </xf>
    <xf numFmtId="165" fontId="8" fillId="0" borderId="48" xfId="50" applyNumberFormat="1" applyFont="1" applyFill="1" applyBorder="1" applyAlignment="1">
      <alignment horizontal="right" vertical="center" wrapText="1"/>
    </xf>
    <xf numFmtId="165" fontId="8" fillId="0" borderId="45" xfId="50" applyNumberFormat="1" applyFont="1" applyFill="1" applyBorder="1" applyAlignment="1">
      <alignment horizontal="right" vertical="center" wrapText="1"/>
    </xf>
    <xf numFmtId="165" fontId="9" fillId="0" borderId="45" xfId="50" applyNumberFormat="1" applyFont="1" applyFill="1" applyBorder="1" applyAlignment="1">
      <alignment horizontal="right" vertical="center" wrapText="1"/>
    </xf>
    <xf numFmtId="165" fontId="8" fillId="0" borderId="43" xfId="50" applyNumberFormat="1" applyFont="1" applyFill="1" applyBorder="1" applyAlignment="1">
      <alignment horizontal="right" vertical="center" wrapText="1"/>
    </xf>
    <xf numFmtId="165" fontId="9" fillId="0" borderId="17" xfId="50" applyNumberFormat="1" applyFont="1" applyBorder="1" applyAlignment="1">
      <alignment horizontal="right" wrapText="1"/>
    </xf>
    <xf numFmtId="165" fontId="9" fillId="0" borderId="56" xfId="50" applyNumberFormat="1" applyFont="1" applyBorder="1" applyAlignment="1">
      <alignment horizontal="right" wrapText="1"/>
    </xf>
    <xf numFmtId="165" fontId="9" fillId="0" borderId="48" xfId="50" applyNumberFormat="1" applyFont="1" applyFill="1" applyBorder="1" applyAlignment="1">
      <alignment horizontal="right" vertical="center" wrapText="1"/>
    </xf>
    <xf numFmtId="165" fontId="9" fillId="0" borderId="45" xfId="50" applyNumberFormat="1" applyFont="1" applyFill="1" applyBorder="1" applyAlignment="1">
      <alignment horizontal="right"/>
    </xf>
    <xf numFmtId="165" fontId="9" fillId="0" borderId="45" xfId="50" applyNumberFormat="1" applyFont="1" applyFill="1" applyBorder="1" applyAlignment="1">
      <alignment horizontal="right" wrapText="1"/>
    </xf>
    <xf numFmtId="165" fontId="9" fillId="0" borderId="43" xfId="50" applyNumberFormat="1" applyFont="1" applyFill="1" applyBorder="1" applyAlignment="1">
      <alignment horizontal="right" vertical="center" wrapText="1"/>
    </xf>
    <xf numFmtId="165" fontId="9" fillId="0" borderId="14" xfId="50" applyNumberFormat="1" applyFont="1" applyBorder="1" applyAlignment="1">
      <alignment horizontal="right" wrapText="1"/>
    </xf>
    <xf numFmtId="165" fontId="9" fillId="0" borderId="39" xfId="50" applyNumberFormat="1" applyFont="1" applyBorder="1" applyAlignment="1">
      <alignment horizontal="right" wrapText="1"/>
    </xf>
    <xf numFmtId="165" fontId="9" fillId="0" borderId="21" xfId="50" applyNumberFormat="1" applyFont="1" applyFill="1" applyBorder="1" applyAlignment="1">
      <alignment horizontal="right"/>
    </xf>
    <xf numFmtId="165" fontId="9" fillId="0" borderId="36" xfId="50" applyNumberFormat="1" applyFont="1" applyFill="1" applyBorder="1" applyAlignment="1">
      <alignment horizontal="right"/>
    </xf>
    <xf numFmtId="165" fontId="9" fillId="0" borderId="15" xfId="50" applyNumberFormat="1" applyFont="1" applyBorder="1" applyAlignment="1">
      <alignment horizontal="right" wrapText="1"/>
    </xf>
    <xf numFmtId="165" fontId="9" fillId="0" borderId="57" xfId="50" applyNumberFormat="1" applyFont="1" applyBorder="1" applyAlignment="1">
      <alignment horizontal="right" wrapText="1"/>
    </xf>
    <xf numFmtId="165" fontId="9" fillId="0" borderId="47" xfId="50" applyNumberFormat="1" applyFont="1" applyFill="1" applyBorder="1" applyAlignment="1">
      <alignment horizontal="right"/>
    </xf>
    <xf numFmtId="165" fontId="9" fillId="0" borderId="46" xfId="50" applyNumberFormat="1" applyFont="1" applyFill="1" applyBorder="1" applyAlignment="1">
      <alignment horizontal="right"/>
    </xf>
    <xf numFmtId="165" fontId="9" fillId="0" borderId="42" xfId="50" applyNumberFormat="1" applyFont="1" applyFill="1" applyBorder="1" applyAlignment="1">
      <alignment horizontal="right"/>
    </xf>
    <xf numFmtId="165" fontId="4" fillId="0" borderId="23" xfId="50" applyNumberFormat="1" applyFont="1" applyFill="1" applyBorder="1" applyAlignment="1" applyProtection="1">
      <alignment horizontal="right" vertical="center" wrapText="1"/>
    </xf>
    <xf numFmtId="165" fontId="4" fillId="0" borderId="52" xfId="50" applyNumberFormat="1" applyFont="1" applyFill="1" applyBorder="1" applyAlignment="1" applyProtection="1">
      <alignment horizontal="right" vertical="center" wrapText="1"/>
    </xf>
    <xf numFmtId="165" fontId="8" fillId="0" borderId="1" xfId="50" applyNumberFormat="1" applyFont="1" applyBorder="1" applyAlignment="1">
      <alignment horizontal="right" wrapText="1"/>
    </xf>
    <xf numFmtId="1" fontId="8" fillId="21" borderId="0" xfId="46" applyNumberFormat="1" applyFont="1" applyFill="1" applyBorder="1" applyAlignment="1">
      <alignment horizontal="right" vertical="top" wrapText="1"/>
    </xf>
    <xf numFmtId="0" fontId="46" fillId="0" borderId="0" xfId="46" applyFont="1" applyFill="1" applyBorder="1" applyAlignment="1">
      <alignment wrapText="1"/>
    </xf>
    <xf numFmtId="165" fontId="49" fillId="21" borderId="0" xfId="50" applyNumberFormat="1" applyFont="1" applyFill="1" applyBorder="1" applyAlignment="1">
      <alignment horizontal="right" wrapText="1"/>
    </xf>
    <xf numFmtId="165" fontId="9" fillId="0" borderId="0" xfId="50" applyNumberFormat="1" applyFont="1" applyBorder="1" applyAlignment="1">
      <alignment horizontal="right" wrapText="1"/>
    </xf>
    <xf numFmtId="165" fontId="4" fillId="0" borderId="0" xfId="50" applyNumberFormat="1" applyFont="1" applyFill="1" applyBorder="1" applyAlignment="1" applyProtection="1">
      <alignment horizontal="right" vertical="center" wrapText="1"/>
    </xf>
    <xf numFmtId="165" fontId="8" fillId="0" borderId="0" xfId="50" applyNumberFormat="1" applyFont="1" applyBorder="1" applyAlignment="1">
      <alignment horizontal="right" wrapText="1"/>
    </xf>
    <xf numFmtId="165" fontId="49" fillId="0" borderId="1" xfId="50" applyNumberFormat="1" applyFont="1" applyBorder="1" applyAlignment="1">
      <alignment horizontal="right" wrapText="1"/>
    </xf>
    <xf numFmtId="165" fontId="9" fillId="0" borderId="1" xfId="50" applyNumberFormat="1" applyFont="1" applyBorder="1" applyAlignment="1">
      <alignment horizontal="right"/>
    </xf>
    <xf numFmtId="1" fontId="8" fillId="21" borderId="58" xfId="46" applyNumberFormat="1" applyFont="1" applyFill="1" applyBorder="1" applyAlignment="1">
      <alignment horizontal="left" vertical="center" wrapText="1"/>
    </xf>
    <xf numFmtId="0" fontId="8" fillId="0" borderId="59" xfId="46" applyFont="1" applyBorder="1" applyAlignment="1">
      <alignment vertical="center" wrapText="1"/>
    </xf>
    <xf numFmtId="0" fontId="8" fillId="0" borderId="60" xfId="46" applyFont="1" applyBorder="1" applyAlignment="1">
      <alignment vertical="center" wrapText="1"/>
    </xf>
    <xf numFmtId="0" fontId="8" fillId="0" borderId="61" xfId="46" applyFont="1" applyBorder="1" applyAlignment="1">
      <alignment vertical="center" wrapText="1"/>
    </xf>
    <xf numFmtId="0" fontId="8" fillId="0" borderId="62" xfId="46" applyFont="1" applyBorder="1" applyAlignment="1">
      <alignment vertical="center" wrapText="1"/>
    </xf>
    <xf numFmtId="0" fontId="46" fillId="0" borderId="63" xfId="46" applyFont="1" applyFill="1" applyBorder="1" applyAlignment="1">
      <alignment wrapText="1"/>
    </xf>
    <xf numFmtId="165" fontId="4" fillId="0" borderId="14" xfId="50" applyNumberFormat="1" applyFont="1" applyFill="1" applyBorder="1" applyAlignment="1" applyProtection="1"/>
    <xf numFmtId="165" fontId="46" fillId="0" borderId="20" xfId="50" applyNumberFormat="1" applyFont="1" applyFill="1" applyBorder="1" applyAlignment="1">
      <alignment horizontal="right" wrapText="1"/>
    </xf>
    <xf numFmtId="165" fontId="46" fillId="0" borderId="14" xfId="50" applyNumberFormat="1" applyFont="1" applyFill="1" applyBorder="1" applyAlignment="1">
      <alignment horizontal="right" wrapText="1"/>
    </xf>
    <xf numFmtId="165" fontId="46" fillId="0" borderId="23" xfId="50" applyNumberFormat="1" applyFont="1" applyFill="1" applyBorder="1" applyAlignment="1">
      <alignment horizontal="right" wrapText="1"/>
    </xf>
    <xf numFmtId="165" fontId="46" fillId="0" borderId="24" xfId="50" applyNumberFormat="1" applyFont="1" applyBorder="1" applyAlignment="1">
      <alignment horizontal="right"/>
    </xf>
    <xf numFmtId="165" fontId="4" fillId="0" borderId="15" xfId="50" applyNumberFormat="1" applyFont="1" applyFill="1" applyBorder="1" applyAlignment="1" applyProtection="1"/>
    <xf numFmtId="165" fontId="6" fillId="0" borderId="1" xfId="50" applyNumberFormat="1" applyFont="1" applyFill="1" applyBorder="1" applyAlignment="1" applyProtection="1"/>
    <xf numFmtId="164" fontId="5" fillId="0" borderId="0" xfId="50" applyFont="1" applyFill="1" applyBorder="1" applyAlignment="1" applyProtection="1"/>
    <xf numFmtId="164" fontId="59" fillId="0" borderId="0" xfId="50" applyFont="1" applyBorder="1"/>
    <xf numFmtId="1" fontId="49" fillId="21" borderId="49" xfId="46" applyNumberFormat="1" applyFont="1" applyFill="1" applyBorder="1" applyAlignment="1">
      <alignment horizontal="left" wrapText="1"/>
    </xf>
    <xf numFmtId="1" fontId="9" fillId="0" borderId="34" xfId="46" applyNumberFormat="1" applyFont="1" applyBorder="1" applyAlignment="1">
      <alignment horizontal="left" wrapText="1"/>
    </xf>
    <xf numFmtId="0" fontId="4" fillId="0" borderId="50" xfId="46" applyNumberFormat="1" applyFont="1" applyFill="1" applyBorder="1" applyAlignment="1" applyProtection="1">
      <alignment vertical="center" wrapText="1"/>
    </xf>
    <xf numFmtId="0" fontId="27" fillId="0" borderId="0" xfId="40" applyFont="1" applyBorder="1" applyAlignment="1">
      <alignment horizontal="left" indent="1"/>
    </xf>
    <xf numFmtId="0" fontId="27" fillId="0" borderId="0" xfId="40" applyFont="1" applyBorder="1" applyAlignment="1"/>
    <xf numFmtId="4" fontId="27" fillId="0" borderId="0" xfId="40" applyNumberFormat="1" applyFont="1" applyBorder="1" applyAlignment="1"/>
    <xf numFmtId="4" fontId="27" fillId="0" borderId="0" xfId="50" applyNumberFormat="1" applyFont="1" applyBorder="1" applyAlignment="1"/>
    <xf numFmtId="4" fontId="55" fillId="0" borderId="0" xfId="50" applyNumberFormat="1" applyFont="1" applyBorder="1" applyAlignment="1"/>
    <xf numFmtId="4" fontId="58" fillId="0" borderId="0" xfId="50" applyNumberFormat="1" applyFont="1" applyBorder="1" applyAlignment="1"/>
    <xf numFmtId="165" fontId="4" fillId="0" borderId="17" xfId="50" applyNumberFormat="1" applyFont="1" applyFill="1" applyBorder="1" applyAlignment="1" applyProtection="1"/>
    <xf numFmtId="0" fontId="4" fillId="0" borderId="1" xfId="46" applyNumberFormat="1" applyFont="1" applyFill="1" applyBorder="1" applyAlignment="1" applyProtection="1">
      <alignment wrapText="1"/>
    </xf>
    <xf numFmtId="4" fontId="56" fillId="0" borderId="64" xfId="40" applyNumberFormat="1" applyFont="1" applyBorder="1" applyAlignment="1">
      <alignment horizontal="center" vertical="center"/>
    </xf>
    <xf numFmtId="4" fontId="3" fillId="2" borderId="65" xfId="50" applyNumberFormat="1" applyFont="1" applyFill="1" applyBorder="1" applyAlignment="1">
      <alignment wrapText="1"/>
    </xf>
    <xf numFmtId="4" fontId="5" fillId="23" borderId="65" xfId="50" applyNumberFormat="1" applyFont="1" applyFill="1" applyBorder="1" applyAlignment="1">
      <alignment wrapText="1"/>
    </xf>
    <xf numFmtId="4" fontId="27" fillId="0" borderId="65" xfId="40" applyNumberFormat="1" applyFont="1" applyBorder="1" applyAlignment="1"/>
    <xf numFmtId="4" fontId="27" fillId="0" borderId="65" xfId="50" applyNumberFormat="1" applyFont="1" applyBorder="1" applyAlignment="1"/>
    <xf numFmtId="4" fontId="29" fillId="23" borderId="65" xfId="50" applyNumberFormat="1" applyFont="1" applyFill="1" applyBorder="1" applyAlignment="1">
      <alignment wrapText="1"/>
    </xf>
    <xf numFmtId="4" fontId="5" fillId="23" borderId="66" xfId="50" applyNumberFormat="1" applyFont="1" applyFill="1" applyBorder="1" applyAlignment="1">
      <alignment wrapText="1"/>
    </xf>
    <xf numFmtId="4" fontId="37" fillId="22" borderId="67" xfId="40" applyNumberFormat="1" applyFont="1" applyFill="1" applyBorder="1" applyAlignment="1">
      <alignment horizontal="right" wrapText="1"/>
    </xf>
    <xf numFmtId="4" fontId="37" fillId="2" borderId="65" xfId="50" applyNumberFormat="1" applyFont="1" applyFill="1" applyBorder="1" applyAlignment="1">
      <alignment wrapText="1"/>
    </xf>
    <xf numFmtId="4" fontId="36" fillId="23" borderId="65" xfId="50" applyNumberFormat="1" applyFont="1" applyFill="1" applyBorder="1" applyAlignment="1">
      <alignment wrapText="1"/>
    </xf>
    <xf numFmtId="4" fontId="40" fillId="23" borderId="65" xfId="50" applyNumberFormat="1" applyFont="1" applyFill="1" applyBorder="1" applyAlignment="1">
      <alignment wrapText="1"/>
    </xf>
    <xf numFmtId="4" fontId="40" fillId="22" borderId="65" xfId="50" applyNumberFormat="1" applyFont="1" applyFill="1" applyBorder="1" applyAlignment="1">
      <alignment wrapText="1"/>
    </xf>
    <xf numFmtId="4" fontId="40" fillId="2" borderId="65" xfId="50" applyNumberFormat="1" applyFont="1" applyFill="1" applyBorder="1" applyAlignment="1">
      <alignment wrapText="1"/>
    </xf>
    <xf numFmtId="4" fontId="45" fillId="23" borderId="65" xfId="50" applyNumberFormat="1" applyFont="1" applyFill="1" applyBorder="1" applyAlignment="1">
      <alignment wrapText="1"/>
    </xf>
    <xf numFmtId="4" fontId="27" fillId="0" borderId="68" xfId="50" applyNumberFormat="1" applyFont="1" applyBorder="1" applyAlignment="1"/>
    <xf numFmtId="4" fontId="42" fillId="20" borderId="19" xfId="50" applyNumberFormat="1" applyFont="1" applyFill="1" applyBorder="1" applyAlignment="1"/>
    <xf numFmtId="4" fontId="56" fillId="0" borderId="1" xfId="4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Alignment="1"/>
    <xf numFmtId="4" fontId="55" fillId="0" borderId="0" xfId="50" applyNumberFormat="1" applyFont="1" applyFill="1" applyBorder="1" applyAlignment="1"/>
    <xf numFmtId="3" fontId="3" fillId="22" borderId="17" xfId="40" applyNumberFormat="1" applyFont="1" applyFill="1" applyBorder="1" applyAlignment="1">
      <alignment horizontal="right" wrapText="1"/>
    </xf>
    <xf numFmtId="3" fontId="3" fillId="2" borderId="17" xfId="40" applyNumberFormat="1" applyFont="1" applyFill="1" applyBorder="1" applyAlignment="1">
      <alignment horizontal="right" wrapText="1"/>
    </xf>
    <xf numFmtId="3" fontId="5" fillId="23" borderId="17" xfId="40" applyNumberFormat="1" applyFont="1" applyFill="1" applyBorder="1" applyAlignment="1">
      <alignment horizontal="right" wrapText="1"/>
    </xf>
    <xf numFmtId="3" fontId="5" fillId="2" borderId="17" xfId="40" applyNumberFormat="1" applyFont="1" applyFill="1" applyBorder="1" applyAlignment="1">
      <alignment horizontal="right" wrapText="1"/>
    </xf>
    <xf numFmtId="3" fontId="60" fillId="0" borderId="17" xfId="40" applyNumberFormat="1" applyFont="1" applyFill="1" applyBorder="1" applyAlignment="1">
      <alignment horizontal="right" wrapText="1"/>
    </xf>
    <xf numFmtId="3" fontId="5" fillId="22" borderId="17" xfId="40" applyNumberFormat="1" applyFont="1" applyFill="1" applyBorder="1" applyAlignment="1">
      <alignment horizontal="right" wrapText="1"/>
    </xf>
    <xf numFmtId="3" fontId="60" fillId="0" borderId="63" xfId="40" applyNumberFormat="1" applyFont="1" applyFill="1" applyBorder="1" applyAlignment="1">
      <alignment horizontal="right" wrapText="1"/>
    </xf>
    <xf numFmtId="3" fontId="3" fillId="20" borderId="1" xfId="40" applyNumberFormat="1" applyFont="1" applyFill="1" applyBorder="1" applyAlignment="1">
      <alignment horizontal="right" wrapText="1"/>
    </xf>
    <xf numFmtId="0" fontId="46" fillId="0" borderId="18" xfId="46" applyFont="1" applyFill="1" applyBorder="1" applyAlignment="1">
      <alignment horizontal="center" wrapText="1"/>
    </xf>
    <xf numFmtId="0" fontId="46" fillId="0" borderId="24" xfId="46" applyFont="1" applyFill="1" applyBorder="1" applyAlignment="1">
      <alignment horizontal="center" wrapText="1"/>
    </xf>
    <xf numFmtId="0" fontId="8" fillId="0" borderId="16" xfId="46" applyFont="1" applyFill="1" applyBorder="1" applyAlignment="1">
      <alignment horizontal="center" vertical="center"/>
    </xf>
    <xf numFmtId="0" fontId="8" fillId="0" borderId="2" xfId="46" applyFont="1" applyFill="1" applyBorder="1" applyAlignment="1">
      <alignment horizontal="center" vertical="center"/>
    </xf>
    <xf numFmtId="0" fontId="8" fillId="0" borderId="19" xfId="46" applyFont="1" applyFill="1" applyBorder="1" applyAlignment="1">
      <alignment horizontal="center" vertical="center"/>
    </xf>
    <xf numFmtId="0" fontId="3" fillId="0" borderId="16" xfId="46" applyNumberFormat="1" applyFont="1" applyFill="1" applyBorder="1" applyAlignment="1" applyProtection="1">
      <alignment horizontal="center" vertical="center"/>
    </xf>
    <xf numFmtId="0" fontId="3" fillId="0" borderId="2" xfId="46" applyNumberFormat="1" applyFont="1" applyFill="1" applyBorder="1" applyAlignment="1" applyProtection="1">
      <alignment horizontal="center" vertical="center"/>
    </xf>
    <xf numFmtId="0" fontId="3" fillId="0" borderId="19" xfId="46" applyNumberFormat="1" applyFont="1" applyFill="1" applyBorder="1" applyAlignment="1" applyProtection="1">
      <alignment horizontal="center" vertical="center"/>
    </xf>
    <xf numFmtId="0" fontId="28" fillId="0" borderId="16" xfId="40" applyFont="1" applyBorder="1" applyAlignment="1">
      <alignment horizontal="center"/>
    </xf>
    <xf numFmtId="0" fontId="28" fillId="0" borderId="2" xfId="40" applyFont="1" applyBorder="1" applyAlignment="1">
      <alignment horizontal="center"/>
    </xf>
    <xf numFmtId="0" fontId="28" fillId="0" borderId="19" xfId="40" applyFont="1" applyBorder="1" applyAlignment="1">
      <alignment horizontal="center"/>
    </xf>
  </cellXfs>
  <cellStyles count="5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39"/>
    <cellStyle name="Normalno 2" xfId="40"/>
    <cellStyle name="Note" xfId="41"/>
    <cellStyle name="Obično" xfId="0" builtinId="0"/>
    <cellStyle name="Obično 2" xfId="1"/>
    <cellStyle name="Obično 3" xfId="46"/>
    <cellStyle name="Obično 3 2" xfId="48"/>
    <cellStyle name="Obično 3 3" xfId="49"/>
    <cellStyle name="Output" xfId="42"/>
    <cellStyle name="Title" xfId="43"/>
    <cellStyle name="Total" xfId="44"/>
    <cellStyle name="Warning Text" xfId="45"/>
    <cellStyle name="Zarez" xfId="50" builtinId="3"/>
    <cellStyle name="Zarez 2" xfId="2"/>
    <cellStyle name="Zarez 2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361950</xdr:colOff>
      <xdr:row>1</xdr:row>
      <xdr:rowOff>0</xdr:rowOff>
    </xdr:from>
    <xdr:ext cx="184731" cy="264560"/>
    <xdr:sp macro="" textlink="">
      <xdr:nvSpPr>
        <xdr:cNvPr id="6" name="TekstniOkvir 5"/>
        <xdr:cNvSpPr txBox="1"/>
      </xdr:nvSpPr>
      <xdr:spPr>
        <a:xfrm>
          <a:off x="76866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361950</xdr:colOff>
      <xdr:row>1</xdr:row>
      <xdr:rowOff>161925</xdr:rowOff>
    </xdr:from>
    <xdr:ext cx="184731" cy="264560"/>
    <xdr:sp macro="" textlink="">
      <xdr:nvSpPr>
        <xdr:cNvPr id="3" name="TekstniOkvir 2"/>
        <xdr:cNvSpPr txBox="1"/>
      </xdr:nvSpPr>
      <xdr:spPr>
        <a:xfrm>
          <a:off x="76866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9"/>
  <sheetViews>
    <sheetView workbookViewId="0"/>
  </sheetViews>
  <sheetFormatPr defaultColWidth="11.42578125" defaultRowHeight="12.75"/>
  <cols>
    <col min="1" max="1" width="18" style="6" customWidth="1"/>
    <col min="2" max="2" width="15.85546875" style="6" bestFit="1" customWidth="1"/>
    <col min="3" max="3" width="1.42578125" style="6" customWidth="1"/>
    <col min="4" max="4" width="14.7109375" style="6" bestFit="1" customWidth="1"/>
    <col min="5" max="5" width="13.42578125" style="6" bestFit="1" customWidth="1"/>
    <col min="6" max="6" width="14.28515625" style="6" bestFit="1" customWidth="1"/>
    <col min="7" max="7" width="17.5703125" style="7" bestFit="1" customWidth="1"/>
    <col min="8" max="8" width="8.140625" style="1" bestFit="1" customWidth="1"/>
    <col min="9" max="9" width="9" style="1" bestFit="1" customWidth="1"/>
    <col min="10" max="10" width="13.85546875" style="1" bestFit="1" customWidth="1"/>
    <col min="11" max="11" width="12" style="1" bestFit="1" customWidth="1"/>
    <col min="12" max="12" width="10.7109375" style="1" bestFit="1" customWidth="1"/>
    <col min="13" max="13" width="13.5703125" style="1" bestFit="1" customWidth="1"/>
    <col min="14" max="14" width="10.85546875" style="1" hidden="1" customWidth="1"/>
    <col min="15" max="15" width="16.85546875" style="1" hidden="1" customWidth="1"/>
    <col min="16" max="16" width="7.85546875" style="1" hidden="1" customWidth="1"/>
    <col min="17" max="17" width="11.7109375" style="1" customWidth="1"/>
    <col min="18" max="18" width="16.5703125" style="1" bestFit="1" customWidth="1"/>
    <col min="19" max="16384" width="11.42578125" style="1"/>
  </cols>
  <sheetData>
    <row r="1" spans="1:19" ht="29.25" customHeight="1" thickBot="1">
      <c r="A1" s="6" t="s">
        <v>166</v>
      </c>
    </row>
    <row r="2" spans="1:19" ht="36.75" customHeight="1" thickBot="1">
      <c r="A2" s="276" t="s">
        <v>163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8"/>
    </row>
    <row r="3" spans="1:19" ht="13.5" thickBot="1">
      <c r="A3" s="2"/>
      <c r="B3" s="2"/>
      <c r="C3" s="2"/>
      <c r="D3" s="2"/>
      <c r="E3" s="3"/>
      <c r="F3" s="3"/>
      <c r="G3" s="3"/>
      <c r="H3" s="3"/>
      <c r="I3" s="3"/>
      <c r="J3" s="3"/>
      <c r="K3" s="3"/>
      <c r="M3" s="4" t="s">
        <v>37</v>
      </c>
      <c r="N3" s="3"/>
      <c r="O3" s="3"/>
      <c r="P3" s="3"/>
    </row>
    <row r="4" spans="1:19" ht="26.25" thickBot="1">
      <c r="A4" s="184" t="s">
        <v>38</v>
      </c>
      <c r="B4" s="271" t="s">
        <v>164</v>
      </c>
      <c r="C4" s="210"/>
      <c r="D4" s="273" t="s">
        <v>165</v>
      </c>
      <c r="E4" s="274"/>
      <c r="F4" s="274"/>
      <c r="G4" s="274"/>
      <c r="H4" s="274"/>
      <c r="I4" s="274"/>
      <c r="J4" s="274"/>
      <c r="K4" s="274"/>
      <c r="L4" s="274"/>
      <c r="M4" s="275"/>
    </row>
    <row r="5" spans="1:19" ht="97.5" customHeight="1" thickBot="1">
      <c r="A5" s="43" t="s">
        <v>39</v>
      </c>
      <c r="B5" s="272"/>
      <c r="C5" s="211"/>
      <c r="D5" s="218" t="s">
        <v>169</v>
      </c>
      <c r="E5" s="219" t="s">
        <v>170</v>
      </c>
      <c r="F5" s="220" t="s">
        <v>171</v>
      </c>
      <c r="G5" s="220" t="s">
        <v>172</v>
      </c>
      <c r="H5" s="220" t="s">
        <v>173</v>
      </c>
      <c r="I5" s="220" t="s">
        <v>174</v>
      </c>
      <c r="J5" s="220" t="s">
        <v>175</v>
      </c>
      <c r="K5" s="221" t="s">
        <v>176</v>
      </c>
      <c r="L5" s="222" t="s">
        <v>177</v>
      </c>
      <c r="M5" s="223" t="s">
        <v>167</v>
      </c>
      <c r="N5" s="37" t="s">
        <v>156</v>
      </c>
      <c r="O5" s="38" t="s">
        <v>126</v>
      </c>
      <c r="P5" s="52" t="s">
        <v>127</v>
      </c>
      <c r="Q5" s="243" t="s">
        <v>168</v>
      </c>
    </row>
    <row r="6" spans="1:19" ht="25.5">
      <c r="A6" s="233" t="s">
        <v>153</v>
      </c>
      <c r="B6" s="186">
        <v>0</v>
      </c>
      <c r="C6" s="212"/>
      <c r="D6" s="187"/>
      <c r="E6" s="188"/>
      <c r="F6" s="189"/>
      <c r="G6" s="189"/>
      <c r="H6" s="190">
        <v>130000</v>
      </c>
      <c r="I6" s="189"/>
      <c r="J6" s="189"/>
      <c r="K6" s="189"/>
      <c r="L6" s="191"/>
      <c r="M6" s="225">
        <f>SUM(D6:L6)</f>
        <v>130000</v>
      </c>
      <c r="N6" s="53">
        <v>42675.59</v>
      </c>
      <c r="O6" s="46">
        <v>130000</v>
      </c>
      <c r="P6" s="54">
        <v>0</v>
      </c>
      <c r="Q6" s="242"/>
      <c r="R6" s="51"/>
      <c r="S6" s="51"/>
    </row>
    <row r="7" spans="1:19">
      <c r="A7" s="234" t="s">
        <v>128</v>
      </c>
      <c r="B7" s="192">
        <v>10000</v>
      </c>
      <c r="C7" s="213"/>
      <c r="D7" s="193"/>
      <c r="E7" s="194"/>
      <c r="F7" s="195">
        <v>10000</v>
      </c>
      <c r="G7" s="196"/>
      <c r="H7" s="190"/>
      <c r="I7" s="190"/>
      <c r="J7" s="190"/>
      <c r="K7" s="190"/>
      <c r="L7" s="197"/>
      <c r="M7" s="226">
        <f t="shared" ref="M7:M19" si="0">SUM(D7:L7)</f>
        <v>10000</v>
      </c>
      <c r="N7" s="55">
        <v>2060.94</v>
      </c>
      <c r="O7" s="47">
        <v>10000</v>
      </c>
      <c r="P7" s="56">
        <f>O7/M7*100</f>
        <v>100</v>
      </c>
      <c r="Q7" s="224">
        <f t="shared" ref="Q7:Q20" si="1">M7/B7*100</f>
        <v>100</v>
      </c>
      <c r="R7" s="51"/>
      <c r="S7" s="51"/>
    </row>
    <row r="8" spans="1:19" ht="25.5">
      <c r="A8" s="234" t="s">
        <v>154</v>
      </c>
      <c r="B8" s="192">
        <v>0</v>
      </c>
      <c r="C8" s="213"/>
      <c r="D8" s="193"/>
      <c r="E8" s="194"/>
      <c r="F8" s="195">
        <v>3000</v>
      </c>
      <c r="G8" s="196"/>
      <c r="H8" s="190"/>
      <c r="I8" s="190"/>
      <c r="J8" s="190"/>
      <c r="K8" s="190"/>
      <c r="L8" s="197"/>
      <c r="M8" s="226">
        <f t="shared" si="0"/>
        <v>3000</v>
      </c>
      <c r="N8" s="55">
        <v>1957.04</v>
      </c>
      <c r="O8" s="47">
        <v>3000</v>
      </c>
      <c r="P8" s="56">
        <v>0</v>
      </c>
      <c r="Q8" s="224"/>
      <c r="R8" s="51"/>
      <c r="S8" s="51"/>
    </row>
    <row r="9" spans="1:19">
      <c r="A9" s="234" t="s">
        <v>129</v>
      </c>
      <c r="B9" s="198">
        <v>8500000</v>
      </c>
      <c r="C9" s="213"/>
      <c r="D9" s="199"/>
      <c r="E9" s="200"/>
      <c r="F9" s="185"/>
      <c r="G9" s="185">
        <v>9000000</v>
      </c>
      <c r="H9" s="185"/>
      <c r="I9" s="185"/>
      <c r="J9" s="185"/>
      <c r="K9" s="185"/>
      <c r="L9" s="201"/>
      <c r="M9" s="226">
        <f t="shared" si="0"/>
        <v>9000000</v>
      </c>
      <c r="N9" s="57">
        <f>5650476.87-N10</f>
        <v>5453649.3899999997</v>
      </c>
      <c r="O9" s="48">
        <v>9000000</v>
      </c>
      <c r="P9" s="56">
        <f t="shared" ref="P9:P12" si="2">O9/M9*100</f>
        <v>100</v>
      </c>
      <c r="Q9" s="224">
        <f t="shared" si="1"/>
        <v>105.88235294117648</v>
      </c>
      <c r="R9" s="51"/>
      <c r="S9" s="51"/>
    </row>
    <row r="10" spans="1:19">
      <c r="A10" s="234" t="s">
        <v>130</v>
      </c>
      <c r="B10" s="198">
        <v>300000</v>
      </c>
      <c r="C10" s="213"/>
      <c r="D10" s="199"/>
      <c r="E10" s="200"/>
      <c r="F10" s="185"/>
      <c r="G10" s="185"/>
      <c r="H10" s="185"/>
      <c r="I10" s="185"/>
      <c r="J10" s="185">
        <v>480000</v>
      </c>
      <c r="K10" s="185"/>
      <c r="L10" s="201"/>
      <c r="M10" s="226">
        <f t="shared" si="0"/>
        <v>480000</v>
      </c>
      <c r="N10" s="57">
        <v>196827.48</v>
      </c>
      <c r="O10" s="48">
        <v>480000</v>
      </c>
      <c r="P10" s="56">
        <f t="shared" si="2"/>
        <v>100</v>
      </c>
      <c r="Q10" s="224">
        <f t="shared" si="1"/>
        <v>160</v>
      </c>
      <c r="R10" s="51"/>
      <c r="S10" s="51"/>
    </row>
    <row r="11" spans="1:19">
      <c r="A11" s="234" t="s">
        <v>131</v>
      </c>
      <c r="B11" s="198">
        <v>9550000</v>
      </c>
      <c r="C11" s="213"/>
      <c r="D11" s="199"/>
      <c r="E11" s="200"/>
      <c r="F11" s="185">
        <v>8200000</v>
      </c>
      <c r="G11" s="185"/>
      <c r="H11" s="185"/>
      <c r="I11" s="185"/>
      <c r="J11" s="185"/>
      <c r="K11" s="185"/>
      <c r="L11" s="201"/>
      <c r="M11" s="226">
        <f t="shared" si="0"/>
        <v>8200000</v>
      </c>
      <c r="N11" s="57">
        <v>4886416.76</v>
      </c>
      <c r="O11" s="48">
        <v>8200000</v>
      </c>
      <c r="P11" s="56">
        <f t="shared" si="2"/>
        <v>100</v>
      </c>
      <c r="Q11" s="224">
        <f t="shared" si="1"/>
        <v>85.863874345549746</v>
      </c>
      <c r="R11" s="51"/>
      <c r="S11" s="51"/>
    </row>
    <row r="12" spans="1:19" ht="25.5">
      <c r="A12" s="234" t="s">
        <v>162</v>
      </c>
      <c r="B12" s="198">
        <v>500000</v>
      </c>
      <c r="C12" s="213"/>
      <c r="D12" s="199"/>
      <c r="E12" s="200"/>
      <c r="F12" s="185"/>
      <c r="G12" s="185"/>
      <c r="H12" s="185"/>
      <c r="I12" s="185">
        <v>400000</v>
      </c>
      <c r="J12" s="185"/>
      <c r="K12" s="185"/>
      <c r="L12" s="201"/>
      <c r="M12" s="226">
        <f t="shared" si="0"/>
        <v>400000</v>
      </c>
      <c r="N12" s="57">
        <v>223621.56</v>
      </c>
      <c r="O12" s="48">
        <v>400000</v>
      </c>
      <c r="P12" s="56">
        <f t="shared" si="2"/>
        <v>100</v>
      </c>
      <c r="Q12" s="224">
        <f t="shared" si="1"/>
        <v>80</v>
      </c>
      <c r="R12" s="51"/>
      <c r="S12" s="51"/>
    </row>
    <row r="13" spans="1:19" ht="25.5">
      <c r="A13" s="234" t="s">
        <v>155</v>
      </c>
      <c r="B13" s="198">
        <v>0</v>
      </c>
      <c r="C13" s="213"/>
      <c r="D13" s="199"/>
      <c r="E13" s="200"/>
      <c r="F13" s="185"/>
      <c r="G13" s="185"/>
      <c r="H13" s="185"/>
      <c r="I13" s="185">
        <v>300000</v>
      </c>
      <c r="J13" s="185"/>
      <c r="K13" s="185"/>
      <c r="L13" s="201"/>
      <c r="M13" s="226">
        <f t="shared" si="0"/>
        <v>300000</v>
      </c>
      <c r="N13" s="57">
        <v>177087.5</v>
      </c>
      <c r="O13" s="48">
        <v>300000</v>
      </c>
      <c r="P13" s="56">
        <v>0</v>
      </c>
      <c r="Q13" s="224"/>
      <c r="R13" s="51"/>
      <c r="S13" s="51"/>
    </row>
    <row r="14" spans="1:19" ht="25.5">
      <c r="A14" s="234" t="s">
        <v>132</v>
      </c>
      <c r="B14" s="198">
        <v>1630000</v>
      </c>
      <c r="C14" s="213"/>
      <c r="D14" s="199">
        <v>500000</v>
      </c>
      <c r="E14" s="200">
        <v>939576</v>
      </c>
      <c r="F14" s="185"/>
      <c r="G14" s="185"/>
      <c r="H14" s="185"/>
      <c r="I14" s="185"/>
      <c r="J14" s="185"/>
      <c r="K14" s="185"/>
      <c r="L14" s="201"/>
      <c r="M14" s="226">
        <f t="shared" si="0"/>
        <v>1439576</v>
      </c>
      <c r="N14" s="57">
        <v>939575.09</v>
      </c>
      <c r="O14" s="48">
        <v>939576</v>
      </c>
      <c r="P14" s="56">
        <f t="shared" ref="P14" si="3">O14/M14*100</f>
        <v>65.267551001128112</v>
      </c>
      <c r="Q14" s="224">
        <f t="shared" si="1"/>
        <v>88.317546012269943</v>
      </c>
      <c r="R14" s="51"/>
      <c r="S14" s="51"/>
    </row>
    <row r="15" spans="1:19" ht="25.5">
      <c r="A15" s="234" t="s">
        <v>157</v>
      </c>
      <c r="B15" s="198">
        <v>0</v>
      </c>
      <c r="C15" s="213"/>
      <c r="D15" s="199"/>
      <c r="E15" s="200">
        <v>690424</v>
      </c>
      <c r="F15" s="185"/>
      <c r="G15" s="185"/>
      <c r="H15" s="185"/>
      <c r="I15" s="185"/>
      <c r="J15" s="185"/>
      <c r="K15" s="185"/>
      <c r="L15" s="201"/>
      <c r="M15" s="226">
        <f t="shared" si="0"/>
        <v>690424</v>
      </c>
      <c r="N15" s="57">
        <v>279690</v>
      </c>
      <c r="O15" s="48">
        <v>690424</v>
      </c>
      <c r="P15" s="56"/>
      <c r="Q15" s="224"/>
      <c r="R15" s="51"/>
      <c r="S15" s="51"/>
    </row>
    <row r="16" spans="1:19">
      <c r="A16" s="234" t="s">
        <v>133</v>
      </c>
      <c r="B16" s="198">
        <v>42700000</v>
      </c>
      <c r="C16" s="213"/>
      <c r="D16" s="199"/>
      <c r="E16" s="200"/>
      <c r="F16" s="185"/>
      <c r="G16" s="185">
        <v>43000000</v>
      </c>
      <c r="H16" s="185"/>
      <c r="I16" s="185"/>
      <c r="J16" s="185"/>
      <c r="K16" s="185"/>
      <c r="L16" s="201"/>
      <c r="M16" s="226">
        <f t="shared" si="0"/>
        <v>43000000</v>
      </c>
      <c r="N16" s="57">
        <v>28066712.690000001</v>
      </c>
      <c r="O16" s="48">
        <v>43000000</v>
      </c>
      <c r="P16" s="56">
        <f t="shared" ref="P16:P19" si="4">O16/M16*100</f>
        <v>100</v>
      </c>
      <c r="Q16" s="224">
        <f t="shared" si="1"/>
        <v>100.70257611241217</v>
      </c>
      <c r="R16" s="51"/>
      <c r="S16" s="51"/>
    </row>
    <row r="17" spans="1:19">
      <c r="A17" s="234" t="s">
        <v>134</v>
      </c>
      <c r="B17" s="198">
        <v>200000</v>
      </c>
      <c r="C17" s="213"/>
      <c r="D17" s="199"/>
      <c r="E17" s="200"/>
      <c r="F17" s="185">
        <v>200000</v>
      </c>
      <c r="G17" s="185"/>
      <c r="H17" s="185"/>
      <c r="I17" s="185"/>
      <c r="J17" s="185"/>
      <c r="K17" s="185"/>
      <c r="L17" s="201"/>
      <c r="M17" s="226">
        <f t="shared" si="0"/>
        <v>200000</v>
      </c>
      <c r="N17" s="57">
        <v>132180.16</v>
      </c>
      <c r="O17" s="48">
        <v>200000</v>
      </c>
      <c r="P17" s="56">
        <f t="shared" si="4"/>
        <v>100</v>
      </c>
      <c r="Q17" s="224">
        <f t="shared" si="1"/>
        <v>100</v>
      </c>
      <c r="R17" s="51"/>
      <c r="S17" s="51"/>
    </row>
    <row r="18" spans="1:19">
      <c r="A18" s="234" t="s">
        <v>135</v>
      </c>
      <c r="B18" s="202">
        <v>5248750</v>
      </c>
      <c r="C18" s="213"/>
      <c r="D18" s="203"/>
      <c r="E18" s="204"/>
      <c r="F18" s="205"/>
      <c r="G18" s="205"/>
      <c r="H18" s="205"/>
      <c r="I18" s="205"/>
      <c r="J18" s="205"/>
      <c r="K18" s="205">
        <v>5248750</v>
      </c>
      <c r="L18" s="206"/>
      <c r="M18" s="226">
        <f t="shared" si="0"/>
        <v>5248750</v>
      </c>
      <c r="N18" s="57">
        <v>5248750</v>
      </c>
      <c r="O18" s="48">
        <f>M18</f>
        <v>5248750</v>
      </c>
      <c r="P18" s="58">
        <f t="shared" si="4"/>
        <v>100</v>
      </c>
      <c r="Q18" s="224">
        <f t="shared" si="1"/>
        <v>100</v>
      </c>
      <c r="R18" s="51"/>
      <c r="S18" s="51"/>
    </row>
    <row r="19" spans="1:19" ht="26.25" thickBot="1">
      <c r="A19" s="235" t="s">
        <v>136</v>
      </c>
      <c r="B19" s="207">
        <v>3069733</v>
      </c>
      <c r="C19" s="214"/>
      <c r="D19" s="208"/>
      <c r="E19" s="204"/>
      <c r="F19" s="205"/>
      <c r="G19" s="205"/>
      <c r="H19" s="205"/>
      <c r="I19" s="205"/>
      <c r="J19" s="205"/>
      <c r="K19" s="205"/>
      <c r="L19" s="206">
        <v>3069732.7</v>
      </c>
      <c r="M19" s="227">
        <f t="shared" si="0"/>
        <v>3069732.7</v>
      </c>
      <c r="N19" s="59">
        <v>0</v>
      </c>
      <c r="O19" s="49">
        <f>M19</f>
        <v>3069732.7</v>
      </c>
      <c r="P19" s="58">
        <f t="shared" si="4"/>
        <v>100</v>
      </c>
      <c r="Q19" s="229">
        <f t="shared" si="1"/>
        <v>99.999990227163082</v>
      </c>
      <c r="R19" s="51"/>
      <c r="S19" s="51"/>
    </row>
    <row r="20" spans="1:19" ht="26.25" thickBot="1">
      <c r="A20" s="178" t="s">
        <v>40</v>
      </c>
      <c r="B20" s="209">
        <f>SUM(B6:B19)</f>
        <v>71708483</v>
      </c>
      <c r="C20" s="215"/>
      <c r="D20" s="216">
        <f>SUM(D6:D19)</f>
        <v>500000</v>
      </c>
      <c r="E20" s="217">
        <f>SUM(E6:E19)</f>
        <v>1630000</v>
      </c>
      <c r="F20" s="217">
        <f t="shared" ref="F20:L20" si="5">SUM(F6:F19)</f>
        <v>8413000</v>
      </c>
      <c r="G20" s="217">
        <f t="shared" si="5"/>
        <v>52000000</v>
      </c>
      <c r="H20" s="217">
        <f t="shared" si="5"/>
        <v>130000</v>
      </c>
      <c r="I20" s="217">
        <f t="shared" si="5"/>
        <v>700000</v>
      </c>
      <c r="J20" s="217">
        <f>SUM(J6:J19)</f>
        <v>480000</v>
      </c>
      <c r="K20" s="217">
        <f t="shared" si="5"/>
        <v>5248750</v>
      </c>
      <c r="L20" s="217">
        <f t="shared" si="5"/>
        <v>3069732.7</v>
      </c>
      <c r="M20" s="228">
        <f>SUM(M6:M19)</f>
        <v>72171482.700000003</v>
      </c>
      <c r="N20" s="60">
        <f>SUM(N6:N19)</f>
        <v>45651204.199999996</v>
      </c>
      <c r="O20" s="50">
        <f>SUM(O6:O19)</f>
        <v>71671482.700000003</v>
      </c>
      <c r="P20" s="61">
        <f>O20/M20*100</f>
        <v>99.30720558689589</v>
      </c>
      <c r="Q20" s="230">
        <f t="shared" si="1"/>
        <v>100.64566935546524</v>
      </c>
      <c r="R20" s="51"/>
      <c r="S20" s="51"/>
    </row>
    <row r="21" spans="1:19">
      <c r="A21" s="5"/>
      <c r="B21" s="5"/>
      <c r="C21" s="5"/>
      <c r="D21" s="5"/>
      <c r="E21" s="62"/>
      <c r="F21" s="62"/>
      <c r="G21" s="63"/>
      <c r="H21" s="51"/>
      <c r="I21" s="51"/>
      <c r="J21" s="64"/>
      <c r="K21" s="65"/>
      <c r="L21" s="51"/>
      <c r="M21" s="51"/>
      <c r="N21" s="51"/>
      <c r="O21" s="51"/>
      <c r="P21" s="66"/>
      <c r="Q21" s="51"/>
      <c r="R21" s="51"/>
      <c r="S21" s="51"/>
    </row>
    <row r="22" spans="1:19" ht="15.75">
      <c r="E22" s="67"/>
      <c r="F22" s="67"/>
      <c r="G22" s="68"/>
      <c r="H22" s="51"/>
      <c r="I22" s="51"/>
      <c r="J22" s="51"/>
      <c r="K22" s="51"/>
      <c r="L22" s="180"/>
      <c r="M22" s="181"/>
      <c r="N22" s="181"/>
      <c r="O22" s="181"/>
      <c r="P22" s="51"/>
      <c r="Q22" s="51"/>
    </row>
    <row r="23" spans="1:19" ht="15.75">
      <c r="E23" s="67"/>
      <c r="F23" s="67"/>
      <c r="G23" s="68"/>
      <c r="H23" s="51"/>
      <c r="I23" s="51"/>
      <c r="J23" s="51"/>
      <c r="K23" s="231" t="s">
        <v>178</v>
      </c>
      <c r="L23" s="182"/>
      <c r="M23" s="232"/>
      <c r="N23" s="232"/>
      <c r="O23" s="232"/>
      <c r="P23" s="231"/>
      <c r="Q23" s="231"/>
    </row>
    <row r="24" spans="1:19" ht="15.75">
      <c r="E24" s="67"/>
      <c r="F24" s="67"/>
      <c r="G24" s="68"/>
      <c r="H24" s="51"/>
      <c r="I24" s="51"/>
      <c r="J24" s="51"/>
      <c r="K24" s="231" t="s">
        <v>180</v>
      </c>
      <c r="L24" s="183"/>
      <c r="M24" s="232"/>
      <c r="N24" s="232"/>
      <c r="O24" s="232"/>
      <c r="P24" s="231"/>
      <c r="Q24" s="231"/>
    </row>
    <row r="25" spans="1:19">
      <c r="E25" s="67"/>
      <c r="F25" s="67"/>
      <c r="G25" s="68"/>
      <c r="H25" s="51"/>
      <c r="I25" s="51"/>
      <c r="J25" s="51"/>
      <c r="K25" s="231"/>
      <c r="L25" s="231"/>
      <c r="M25" s="231"/>
      <c r="N25" s="231"/>
      <c r="O25" s="231"/>
      <c r="P25" s="231"/>
      <c r="Q25" s="231"/>
    </row>
    <row r="26" spans="1:19">
      <c r="E26" s="67"/>
      <c r="F26" s="67"/>
      <c r="G26" s="68"/>
      <c r="H26" s="51"/>
      <c r="I26" s="51"/>
      <c r="J26" s="51"/>
      <c r="K26" s="231" t="s">
        <v>179</v>
      </c>
      <c r="L26" s="231"/>
      <c r="M26" s="231"/>
      <c r="N26" s="231"/>
      <c r="O26" s="231"/>
      <c r="P26" s="231"/>
      <c r="Q26" s="231"/>
    </row>
    <row r="27" spans="1:19">
      <c r="E27" s="67"/>
      <c r="F27" s="67"/>
      <c r="G27" s="69"/>
      <c r="H27" s="51"/>
      <c r="I27" s="51"/>
      <c r="J27" s="51"/>
      <c r="K27" s="51"/>
      <c r="L27" s="51"/>
      <c r="M27" s="51"/>
      <c r="N27" s="51"/>
      <c r="O27" s="51"/>
      <c r="P27" s="51"/>
      <c r="Q27" s="51"/>
    </row>
    <row r="28" spans="1:19">
      <c r="E28" s="67"/>
      <c r="F28" s="67"/>
      <c r="G28" s="68"/>
      <c r="H28" s="51"/>
      <c r="I28" s="51"/>
      <c r="J28" s="51"/>
      <c r="K28" s="51"/>
      <c r="L28" s="51"/>
      <c r="M28" s="51"/>
      <c r="N28" s="51"/>
      <c r="O28" s="51"/>
      <c r="P28" s="51"/>
      <c r="Q28" s="51"/>
    </row>
    <row r="29" spans="1:19">
      <c r="E29" s="67"/>
      <c r="F29" s="67"/>
      <c r="G29" s="68"/>
      <c r="H29" s="51"/>
      <c r="I29" s="51"/>
      <c r="J29" s="51"/>
      <c r="K29" s="51"/>
      <c r="L29" s="51"/>
      <c r="M29" s="51"/>
      <c r="N29" s="51"/>
      <c r="O29" s="51"/>
      <c r="P29" s="51"/>
      <c r="Q29" s="51"/>
    </row>
  </sheetData>
  <mergeCells count="3">
    <mergeCell ref="B4:B5"/>
    <mergeCell ref="D4:M4"/>
    <mergeCell ref="A2:Q2"/>
  </mergeCells>
  <printOptions horizontalCentered="1"/>
  <pageMargins left="3.937007874015748E-2" right="3.937007874015748E-2" top="0.15748031496062992" bottom="0.15748031496062992" header="0.31496062992125984" footer="0.31496062992125984"/>
  <pageSetup paperSize="9" scale="80" firstPageNumber="2" orientation="landscape" useFirstPageNumber="1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83"/>
  <sheetViews>
    <sheetView tabSelected="1" topLeftCell="B1" workbookViewId="0">
      <selection activeCell="O11" sqref="O11"/>
    </sheetView>
  </sheetViews>
  <sheetFormatPr defaultColWidth="9.140625" defaultRowHeight="15.75"/>
  <cols>
    <col min="1" max="1" width="9.140625" style="8" hidden="1" customWidth="1"/>
    <col min="2" max="2" width="8.28515625" style="8" customWidth="1"/>
    <col min="3" max="3" width="25.5703125" style="35" customWidth="1"/>
    <col min="4" max="5" width="16.85546875" style="130" hidden="1" customWidth="1"/>
    <col min="6" max="6" width="15.42578125" style="70" hidden="1" customWidth="1"/>
    <col min="7" max="7" width="16" style="70" bestFit="1" customWidth="1"/>
    <col min="8" max="8" width="13.5703125" style="70" bestFit="1" customWidth="1"/>
    <col min="9" max="9" width="16" style="131" bestFit="1" customWidth="1"/>
    <col min="10" max="10" width="15.85546875" style="131" bestFit="1" customWidth="1"/>
    <col min="11" max="11" width="16" style="70" bestFit="1" customWidth="1"/>
    <col min="12" max="13" width="14.7109375" style="70" bestFit="1" customWidth="1"/>
    <col min="14" max="14" width="9.140625" style="8"/>
    <col min="15" max="15" width="12.5703125" style="8" bestFit="1" customWidth="1"/>
    <col min="16" max="16384" width="9.140625" style="8"/>
  </cols>
  <sheetData>
    <row r="1" spans="1:13" ht="25.5" customHeight="1" thickBot="1">
      <c r="B1" s="6" t="s">
        <v>166</v>
      </c>
    </row>
    <row r="2" spans="1:13" ht="21" thickBot="1">
      <c r="B2" s="279" t="s">
        <v>183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1"/>
    </row>
    <row r="3" spans="1:13" ht="39" thickBot="1">
      <c r="A3" s="8" t="s">
        <v>41</v>
      </c>
      <c r="B3" s="39" t="s">
        <v>142</v>
      </c>
      <c r="C3" s="40" t="s">
        <v>0</v>
      </c>
      <c r="D3" s="71" t="s">
        <v>125</v>
      </c>
      <c r="E3" s="72" t="s">
        <v>141</v>
      </c>
      <c r="F3" s="173" t="s">
        <v>152</v>
      </c>
      <c r="G3" s="174" t="s">
        <v>181</v>
      </c>
      <c r="H3" s="173" t="s">
        <v>152</v>
      </c>
      <c r="I3" s="176" t="s">
        <v>182</v>
      </c>
      <c r="J3" s="260" t="s">
        <v>184</v>
      </c>
      <c r="K3" s="244" t="s">
        <v>159</v>
      </c>
      <c r="L3" s="175" t="s">
        <v>160</v>
      </c>
      <c r="M3" s="175" t="s">
        <v>161</v>
      </c>
    </row>
    <row r="4" spans="1:13">
      <c r="A4" s="8">
        <f>LEN(B4)</f>
        <v>1</v>
      </c>
      <c r="B4" s="9" t="s">
        <v>42</v>
      </c>
      <c r="C4" s="10" t="s">
        <v>43</v>
      </c>
      <c r="D4" s="73">
        <f>D5+D15+D48</f>
        <v>70484000</v>
      </c>
      <c r="E4" s="73">
        <f t="shared" ref="E4:M4" si="0">E5+E15+E48</f>
        <v>72594016.699999988</v>
      </c>
      <c r="F4" s="73">
        <f t="shared" si="0"/>
        <v>-9228224</v>
      </c>
      <c r="G4" s="73">
        <f t="shared" si="0"/>
        <v>63365792.700000003</v>
      </c>
      <c r="H4" s="74">
        <f t="shared" si="0"/>
        <v>631335.00000000023</v>
      </c>
      <c r="I4" s="163">
        <f t="shared" si="0"/>
        <v>63997127.700000003</v>
      </c>
      <c r="J4" s="263">
        <f>I4/G4*100</f>
        <v>100.9963340993602</v>
      </c>
      <c r="K4" s="163">
        <f t="shared" si="0"/>
        <v>54756906.700000003</v>
      </c>
      <c r="L4" s="73">
        <f t="shared" si="0"/>
        <v>7800645</v>
      </c>
      <c r="M4" s="73">
        <f t="shared" si="0"/>
        <v>1439576</v>
      </c>
    </row>
    <row r="5" spans="1:13">
      <c r="A5" s="8">
        <f t="shared" ref="A5:A54" si="1">LEN(B5)</f>
        <v>2</v>
      </c>
      <c r="B5" s="11" t="s">
        <v>44</v>
      </c>
      <c r="C5" s="12" t="s">
        <v>45</v>
      </c>
      <c r="D5" s="75">
        <f>D6+D10+D12</f>
        <v>37660000</v>
      </c>
      <c r="E5" s="75">
        <f>E6+E10+E12</f>
        <v>37734526.129999995</v>
      </c>
      <c r="F5" s="76">
        <f t="shared" ref="F5" si="2">F6+F10+F12</f>
        <v>7773.5700000010547</v>
      </c>
      <c r="G5" s="77">
        <f>G6+G10+G12</f>
        <v>37742299.700000003</v>
      </c>
      <c r="H5" s="148">
        <f>H6+H10+H12</f>
        <v>183100.3</v>
      </c>
      <c r="I5" s="133">
        <f t="shared" ref="I5" si="3">I6+I10+I12</f>
        <v>37925400</v>
      </c>
      <c r="J5" s="264">
        <f t="shared" ref="J5:J68" si="4">I5/G5*100</f>
        <v>100.48513286539347</v>
      </c>
      <c r="K5" s="245">
        <f t="shared" ref="K5:M5" si="5">K6+K10+K12</f>
        <v>33100655</v>
      </c>
      <c r="L5" s="144">
        <f t="shared" si="5"/>
        <v>4824745</v>
      </c>
      <c r="M5" s="144">
        <f t="shared" si="5"/>
        <v>0</v>
      </c>
    </row>
    <row r="6" spans="1:13">
      <c r="A6" s="8">
        <f t="shared" si="1"/>
        <v>3</v>
      </c>
      <c r="B6" s="13" t="s">
        <v>46</v>
      </c>
      <c r="C6" s="14" t="s">
        <v>47</v>
      </c>
      <c r="D6" s="78">
        <f t="shared" ref="D6:E6" si="6">SUM(D7:D9)</f>
        <v>31460000</v>
      </c>
      <c r="E6" s="78">
        <f t="shared" si="6"/>
        <v>31534526.129999999</v>
      </c>
      <c r="F6" s="79">
        <f>SUM(F7:F9)</f>
        <v>-254526.12999999896</v>
      </c>
      <c r="G6" s="80">
        <f t="shared" ref="G6:I6" si="7">SUM(G7:G9)</f>
        <v>31280000</v>
      </c>
      <c r="H6" s="151">
        <f t="shared" ref="H6" si="8">SUM(H7:H9)</f>
        <v>140000</v>
      </c>
      <c r="I6" s="134">
        <f t="shared" si="7"/>
        <v>31420000</v>
      </c>
      <c r="J6" s="265">
        <f t="shared" si="4"/>
        <v>100.44757033248082</v>
      </c>
      <c r="K6" s="246">
        <f t="shared" ref="K6:M6" si="9">SUM(K7:K9)</f>
        <v>27319200</v>
      </c>
      <c r="L6" s="145">
        <f t="shared" si="9"/>
        <v>4100800</v>
      </c>
      <c r="M6" s="145">
        <f t="shared" si="9"/>
        <v>0</v>
      </c>
    </row>
    <row r="7" spans="1:13" ht="15">
      <c r="A7" s="8">
        <f t="shared" si="1"/>
        <v>4</v>
      </c>
      <c r="B7" s="15" t="s">
        <v>48</v>
      </c>
      <c r="C7" s="41" t="s">
        <v>1</v>
      </c>
      <c r="D7" s="81">
        <v>27000000</v>
      </c>
      <c r="E7" s="82">
        <f>27000000+74526.13</f>
        <v>27074526.129999999</v>
      </c>
      <c r="F7" s="83">
        <f>G7-E7</f>
        <v>-14526.129999998957</v>
      </c>
      <c r="G7" s="84">
        <v>27060000</v>
      </c>
      <c r="H7" s="85">
        <f>I7-G7</f>
        <v>350000</v>
      </c>
      <c r="I7" s="135">
        <v>27410000</v>
      </c>
      <c r="J7" s="267">
        <f t="shared" si="4"/>
        <v>101.29342202512935</v>
      </c>
      <c r="K7" s="247">
        <f>22989200+350000+80000</f>
        <v>23419200</v>
      </c>
      <c r="L7" s="102">
        <f>4070800-80000</f>
        <v>3990800</v>
      </c>
      <c r="M7" s="102"/>
    </row>
    <row r="8" spans="1:13" ht="15">
      <c r="A8" s="8">
        <f t="shared" si="1"/>
        <v>4</v>
      </c>
      <c r="B8" s="15" t="s">
        <v>49</v>
      </c>
      <c r="C8" s="41" t="s">
        <v>22</v>
      </c>
      <c r="D8" s="81">
        <v>960000</v>
      </c>
      <c r="E8" s="81">
        <v>960000</v>
      </c>
      <c r="F8" s="83">
        <f>G8-E8</f>
        <v>100000</v>
      </c>
      <c r="G8" s="84">
        <v>1060000</v>
      </c>
      <c r="H8" s="85">
        <f t="shared" ref="H8:H9" si="10">I8-G8</f>
        <v>-250000</v>
      </c>
      <c r="I8" s="135">
        <v>810000</v>
      </c>
      <c r="J8" s="267">
        <f t="shared" si="4"/>
        <v>76.415094339622641</v>
      </c>
      <c r="K8" s="248">
        <f>810000</f>
        <v>810000</v>
      </c>
      <c r="L8" s="102">
        <v>0</v>
      </c>
      <c r="M8" s="102"/>
    </row>
    <row r="9" spans="1:13" ht="15">
      <c r="A9" s="8">
        <f t="shared" si="1"/>
        <v>4</v>
      </c>
      <c r="B9" s="15" t="s">
        <v>50</v>
      </c>
      <c r="C9" s="41" t="s">
        <v>23</v>
      </c>
      <c r="D9" s="81">
        <v>3500000</v>
      </c>
      <c r="E9" s="81">
        <v>3500000</v>
      </c>
      <c r="F9" s="83">
        <f>G9-E9</f>
        <v>-340000</v>
      </c>
      <c r="G9" s="84">
        <v>3160000</v>
      </c>
      <c r="H9" s="85">
        <f t="shared" si="10"/>
        <v>40000</v>
      </c>
      <c r="I9" s="135">
        <v>3200000</v>
      </c>
      <c r="J9" s="267">
        <f t="shared" si="4"/>
        <v>101.26582278481013</v>
      </c>
      <c r="K9" s="248">
        <f>2719000+125000+40000+206000</f>
        <v>3090000</v>
      </c>
      <c r="L9" s="146">
        <f>316000-206000</f>
        <v>110000</v>
      </c>
      <c r="M9" s="102"/>
    </row>
    <row r="10" spans="1:13">
      <c r="A10" s="8">
        <f t="shared" si="1"/>
        <v>3</v>
      </c>
      <c r="B10" s="16">
        <v>312</v>
      </c>
      <c r="C10" s="14" t="s">
        <v>2</v>
      </c>
      <c r="D10" s="78">
        <f t="shared" ref="D10:I10" si="11">SUM(D11)</f>
        <v>1300000</v>
      </c>
      <c r="E10" s="78">
        <f t="shared" si="11"/>
        <v>1300000</v>
      </c>
      <c r="F10" s="79">
        <f t="shared" si="11"/>
        <v>0</v>
      </c>
      <c r="G10" s="80">
        <f t="shared" si="11"/>
        <v>1300000</v>
      </c>
      <c r="H10" s="151">
        <f t="shared" si="11"/>
        <v>20000</v>
      </c>
      <c r="I10" s="134">
        <f t="shared" si="11"/>
        <v>1320000</v>
      </c>
      <c r="J10" s="265">
        <f t="shared" si="4"/>
        <v>101.53846153846153</v>
      </c>
      <c r="K10" s="246">
        <f t="shared" ref="K10:M10" si="12">SUM(K11)</f>
        <v>1260000</v>
      </c>
      <c r="L10" s="145">
        <f t="shared" si="12"/>
        <v>60000</v>
      </c>
      <c r="M10" s="145">
        <f t="shared" si="12"/>
        <v>0</v>
      </c>
    </row>
    <row r="11" spans="1:13" ht="15">
      <c r="A11" s="8">
        <f t="shared" si="1"/>
        <v>4</v>
      </c>
      <c r="B11" s="15" t="s">
        <v>51</v>
      </c>
      <c r="C11" s="41" t="s">
        <v>2</v>
      </c>
      <c r="D11" s="86">
        <v>1300000</v>
      </c>
      <c r="E11" s="86">
        <v>1300000</v>
      </c>
      <c r="F11" s="83">
        <f>G11-E11</f>
        <v>0</v>
      </c>
      <c r="G11" s="84">
        <v>1300000</v>
      </c>
      <c r="H11" s="85">
        <f>I11-G11</f>
        <v>20000</v>
      </c>
      <c r="I11" s="135">
        <v>1320000</v>
      </c>
      <c r="J11" s="267">
        <f t="shared" si="4"/>
        <v>101.53846153846153</v>
      </c>
      <c r="K11" s="248">
        <f>1010000+30000+220000</f>
        <v>1260000</v>
      </c>
      <c r="L11" s="146">
        <f>260000-200000</f>
        <v>60000</v>
      </c>
      <c r="M11" s="102"/>
    </row>
    <row r="12" spans="1:13">
      <c r="A12" s="8">
        <f t="shared" si="1"/>
        <v>3</v>
      </c>
      <c r="B12" s="16">
        <v>313</v>
      </c>
      <c r="C12" s="14" t="s">
        <v>52</v>
      </c>
      <c r="D12" s="78">
        <f>SUM(D13:D13)</f>
        <v>4900000</v>
      </c>
      <c r="E12" s="78">
        <f>SUM(E13:E13)</f>
        <v>4900000</v>
      </c>
      <c r="F12" s="87">
        <f t="shared" ref="F12:I12" si="13">SUM(F13:F14)</f>
        <v>262299.7</v>
      </c>
      <c r="G12" s="88">
        <f t="shared" si="13"/>
        <v>5162299.7</v>
      </c>
      <c r="H12" s="164">
        <f t="shared" si="13"/>
        <v>23100.3</v>
      </c>
      <c r="I12" s="134">
        <f t="shared" si="13"/>
        <v>5185400</v>
      </c>
      <c r="J12" s="265">
        <f t="shared" si="4"/>
        <v>100.44748080007831</v>
      </c>
      <c r="K12" s="246">
        <f t="shared" ref="K12:M12" si="14">SUM(K13:K14)</f>
        <v>4521455</v>
      </c>
      <c r="L12" s="145">
        <f t="shared" si="14"/>
        <v>663945</v>
      </c>
      <c r="M12" s="145">
        <f t="shared" si="14"/>
        <v>0</v>
      </c>
    </row>
    <row r="13" spans="1:13" ht="22.5">
      <c r="A13" s="8">
        <f t="shared" si="1"/>
        <v>4</v>
      </c>
      <c r="B13" s="15" t="s">
        <v>53</v>
      </c>
      <c r="C13" s="41" t="s">
        <v>3</v>
      </c>
      <c r="D13" s="86">
        <v>4900000</v>
      </c>
      <c r="E13" s="86">
        <v>4900000</v>
      </c>
      <c r="F13" s="83">
        <f>G13-E13</f>
        <v>262000</v>
      </c>
      <c r="G13" s="84">
        <v>5162000</v>
      </c>
      <c r="H13" s="85">
        <f>I13-G13</f>
        <v>23000</v>
      </c>
      <c r="I13" s="135">
        <v>5185000</v>
      </c>
      <c r="J13" s="267">
        <f t="shared" si="4"/>
        <v>100.44556373498644</v>
      </c>
      <c r="K13" s="248">
        <f>4207700+210000+77300+26055</f>
        <v>4521055</v>
      </c>
      <c r="L13" s="146">
        <f>690000-26055</f>
        <v>663945</v>
      </c>
      <c r="M13" s="102"/>
    </row>
    <row r="14" spans="1:13" ht="15">
      <c r="B14" s="15">
        <v>3133</v>
      </c>
      <c r="C14" s="41" t="s">
        <v>137</v>
      </c>
      <c r="D14" s="86"/>
      <c r="E14" s="86"/>
      <c r="F14" s="83">
        <f>G14-E14</f>
        <v>299.7</v>
      </c>
      <c r="G14" s="84">
        <v>299.7</v>
      </c>
      <c r="H14" s="85">
        <f>I14-G14</f>
        <v>100.30000000000001</v>
      </c>
      <c r="I14" s="135">
        <v>400</v>
      </c>
      <c r="J14" s="267">
        <f t="shared" si="4"/>
        <v>133.46680013346682</v>
      </c>
      <c r="K14" s="248">
        <v>400</v>
      </c>
      <c r="L14" s="146">
        <v>0</v>
      </c>
      <c r="M14" s="102"/>
    </row>
    <row r="15" spans="1:13">
      <c r="A15" s="8">
        <f t="shared" si="1"/>
        <v>2</v>
      </c>
      <c r="B15" s="11" t="s">
        <v>54</v>
      </c>
      <c r="C15" s="12" t="s">
        <v>55</v>
      </c>
      <c r="D15" s="75">
        <f t="shared" ref="D15:I15" si="15">D16+D21+D28+D38+D40</f>
        <v>32511000</v>
      </c>
      <c r="E15" s="75">
        <f t="shared" si="15"/>
        <v>34546490.57</v>
      </c>
      <c r="F15" s="89">
        <f t="shared" si="15"/>
        <v>-9153497.5700000003</v>
      </c>
      <c r="G15" s="90">
        <f t="shared" si="15"/>
        <v>25392993</v>
      </c>
      <c r="H15" s="165">
        <f t="shared" ref="H15" si="16">H16+H21+H28+H38+H40</f>
        <v>511534.70000000019</v>
      </c>
      <c r="I15" s="133">
        <f t="shared" si="15"/>
        <v>25904527.699999999</v>
      </c>
      <c r="J15" s="266">
        <f t="shared" si="4"/>
        <v>102.01447186631367</v>
      </c>
      <c r="K15" s="245">
        <f t="shared" ref="K15:M15" si="17">K16+K21+K28+K38+K40</f>
        <v>21584251.699999999</v>
      </c>
      <c r="L15" s="144">
        <f t="shared" si="17"/>
        <v>2880700</v>
      </c>
      <c r="M15" s="144">
        <f t="shared" si="17"/>
        <v>1439576</v>
      </c>
    </row>
    <row r="16" spans="1:13" ht="24.75">
      <c r="A16" s="8">
        <f t="shared" si="1"/>
        <v>3</v>
      </c>
      <c r="B16" s="13" t="s">
        <v>56</v>
      </c>
      <c r="C16" s="14" t="s">
        <v>57</v>
      </c>
      <c r="D16" s="91">
        <f t="shared" ref="D16:E16" si="18">SUM(D17:D20)</f>
        <v>1440000</v>
      </c>
      <c r="E16" s="91">
        <f t="shared" si="18"/>
        <v>1440000</v>
      </c>
      <c r="F16" s="79">
        <f>SUM(F17:F20)</f>
        <v>-240000</v>
      </c>
      <c r="G16" s="80">
        <f t="shared" ref="G16:I16" si="19">SUM(G17:G20)</f>
        <v>1200000</v>
      </c>
      <c r="H16" s="151">
        <f t="shared" ref="H16" si="20">SUM(H17:H20)</f>
        <v>-45000</v>
      </c>
      <c r="I16" s="134">
        <f t="shared" si="19"/>
        <v>1155000</v>
      </c>
      <c r="J16" s="265">
        <f t="shared" si="4"/>
        <v>96.25</v>
      </c>
      <c r="K16" s="246">
        <f t="shared" ref="K16:M16" si="21">SUM(K17:K20)</f>
        <v>943000</v>
      </c>
      <c r="L16" s="145">
        <f t="shared" si="21"/>
        <v>212000</v>
      </c>
      <c r="M16" s="145">
        <f t="shared" si="21"/>
        <v>0</v>
      </c>
    </row>
    <row r="17" spans="1:15" ht="15">
      <c r="A17" s="8">
        <f t="shared" si="1"/>
        <v>4</v>
      </c>
      <c r="B17" s="15" t="s">
        <v>58</v>
      </c>
      <c r="C17" s="41" t="s">
        <v>4</v>
      </c>
      <c r="D17" s="86">
        <v>180000</v>
      </c>
      <c r="E17" s="86">
        <v>180000</v>
      </c>
      <c r="F17" s="83">
        <f>G17-E17</f>
        <v>-90000</v>
      </c>
      <c r="G17" s="84">
        <v>90000</v>
      </c>
      <c r="H17" s="85">
        <f>I17-G17</f>
        <v>-20000</v>
      </c>
      <c r="I17" s="135">
        <v>70000</v>
      </c>
      <c r="J17" s="267">
        <f t="shared" si="4"/>
        <v>77.777777777777786</v>
      </c>
      <c r="K17" s="248">
        <f>70000-12000</f>
        <v>58000</v>
      </c>
      <c r="L17" s="146">
        <f>18000-6000</f>
        <v>12000</v>
      </c>
      <c r="M17" s="102"/>
    </row>
    <row r="18" spans="1:15" ht="22.5">
      <c r="A18" s="8">
        <f t="shared" si="1"/>
        <v>4</v>
      </c>
      <c r="B18" s="15" t="s">
        <v>59</v>
      </c>
      <c r="C18" s="41" t="s">
        <v>143</v>
      </c>
      <c r="D18" s="86">
        <v>1000000</v>
      </c>
      <c r="E18" s="86">
        <v>1000000</v>
      </c>
      <c r="F18" s="83">
        <f>G18-E18</f>
        <v>-80000</v>
      </c>
      <c r="G18" s="84">
        <v>920000</v>
      </c>
      <c r="H18" s="85">
        <f t="shared" ref="H18:H20" si="22">I18-G18</f>
        <v>30000</v>
      </c>
      <c r="I18" s="135">
        <v>950000</v>
      </c>
      <c r="J18" s="267">
        <f t="shared" si="4"/>
        <v>103.26086956521738</v>
      </c>
      <c r="K18" s="248">
        <f>666000+30000+70000</f>
        <v>766000</v>
      </c>
      <c r="L18" s="146">
        <f>184000</f>
        <v>184000</v>
      </c>
      <c r="M18" s="102"/>
    </row>
    <row r="19" spans="1:15" ht="15">
      <c r="A19" s="8">
        <f t="shared" si="1"/>
        <v>4</v>
      </c>
      <c r="B19" s="15" t="s">
        <v>60</v>
      </c>
      <c r="C19" s="41" t="s">
        <v>5</v>
      </c>
      <c r="D19" s="86">
        <v>250000</v>
      </c>
      <c r="E19" s="86">
        <v>250000</v>
      </c>
      <c r="F19" s="83">
        <f>G19-E19</f>
        <v>-70000</v>
      </c>
      <c r="G19" s="84">
        <v>180000</v>
      </c>
      <c r="H19" s="85">
        <f t="shared" si="22"/>
        <v>-50000</v>
      </c>
      <c r="I19" s="135">
        <v>130000</v>
      </c>
      <c r="J19" s="267">
        <f t="shared" si="4"/>
        <v>72.222222222222214</v>
      </c>
      <c r="K19" s="248">
        <f>94000+50000-50000+20000</f>
        <v>114000</v>
      </c>
      <c r="L19" s="146">
        <f>36000-20000</f>
        <v>16000</v>
      </c>
      <c r="M19" s="102"/>
    </row>
    <row r="20" spans="1:15" ht="22.5">
      <c r="A20" s="8">
        <f t="shared" si="1"/>
        <v>4</v>
      </c>
      <c r="B20" s="15" t="s">
        <v>61</v>
      </c>
      <c r="C20" s="41" t="s">
        <v>6</v>
      </c>
      <c r="D20" s="86">
        <v>10000</v>
      </c>
      <c r="E20" s="86">
        <v>10000</v>
      </c>
      <c r="F20" s="83">
        <f>G20-E20</f>
        <v>0</v>
      </c>
      <c r="G20" s="84">
        <v>10000</v>
      </c>
      <c r="H20" s="85">
        <f t="shared" si="22"/>
        <v>-5000</v>
      </c>
      <c r="I20" s="135">
        <v>5000</v>
      </c>
      <c r="J20" s="267">
        <f t="shared" si="4"/>
        <v>50</v>
      </c>
      <c r="K20" s="248">
        <v>5000</v>
      </c>
      <c r="L20" s="146">
        <v>0</v>
      </c>
      <c r="M20" s="102"/>
    </row>
    <row r="21" spans="1:15" ht="24.75">
      <c r="A21" s="8">
        <f t="shared" si="1"/>
        <v>3</v>
      </c>
      <c r="B21" s="13" t="s">
        <v>62</v>
      </c>
      <c r="C21" s="14" t="s">
        <v>63</v>
      </c>
      <c r="D21" s="91">
        <f t="shared" ref="D21:I21" si="23">SUM(D22:D27)</f>
        <v>23000000</v>
      </c>
      <c r="E21" s="91">
        <f t="shared" si="23"/>
        <v>23020000</v>
      </c>
      <c r="F21" s="79">
        <f t="shared" si="23"/>
        <v>-6450000</v>
      </c>
      <c r="G21" s="80">
        <f t="shared" si="23"/>
        <v>16570000</v>
      </c>
      <c r="H21" s="151">
        <f t="shared" si="23"/>
        <v>400000</v>
      </c>
      <c r="I21" s="134">
        <f t="shared" si="23"/>
        <v>16970000</v>
      </c>
      <c r="J21" s="265">
        <f t="shared" si="4"/>
        <v>102.4140012070006</v>
      </c>
      <c r="K21" s="246">
        <f t="shared" ref="K21:M21" si="24">SUM(K22:K27)</f>
        <v>15628000</v>
      </c>
      <c r="L21" s="145">
        <f t="shared" si="24"/>
        <v>1342000</v>
      </c>
      <c r="M21" s="145">
        <f t="shared" si="24"/>
        <v>0</v>
      </c>
    </row>
    <row r="22" spans="1:15" ht="22.5">
      <c r="A22" s="8">
        <f t="shared" si="1"/>
        <v>4</v>
      </c>
      <c r="B22" s="15" t="s">
        <v>64</v>
      </c>
      <c r="C22" s="41" t="s">
        <v>140</v>
      </c>
      <c r="D22" s="81">
        <v>700000</v>
      </c>
      <c r="E22" s="81">
        <v>700000</v>
      </c>
      <c r="F22" s="83">
        <f t="shared" ref="F22:F27" si="25">G22-E22</f>
        <v>-100000</v>
      </c>
      <c r="G22" s="84">
        <v>600000</v>
      </c>
      <c r="H22" s="85">
        <f>I22-G22</f>
        <v>80000</v>
      </c>
      <c r="I22" s="135">
        <v>680000</v>
      </c>
      <c r="J22" s="267">
        <f t="shared" si="4"/>
        <v>113.33333333333333</v>
      </c>
      <c r="K22" s="248">
        <f>480000+60000</f>
        <v>540000</v>
      </c>
      <c r="L22" s="146">
        <f>120000+20000</f>
        <v>140000</v>
      </c>
      <c r="M22" s="102"/>
    </row>
    <row r="23" spans="1:15" ht="15">
      <c r="A23" s="8">
        <f t="shared" si="1"/>
        <v>4</v>
      </c>
      <c r="B23" s="15" t="s">
        <v>65</v>
      </c>
      <c r="C23" s="41" t="s">
        <v>7</v>
      </c>
      <c r="D23" s="81">
        <v>19000000</v>
      </c>
      <c r="E23" s="81">
        <v>19000000</v>
      </c>
      <c r="F23" s="83">
        <f t="shared" si="25"/>
        <v>-5790000</v>
      </c>
      <c r="G23" s="84">
        <v>13210000</v>
      </c>
      <c r="H23" s="85">
        <f t="shared" ref="H23:H27" si="26">I23-G23</f>
        <v>290000</v>
      </c>
      <c r="I23" s="135">
        <v>13500000</v>
      </c>
      <c r="J23" s="267">
        <f t="shared" si="4"/>
        <v>102.19530658591975</v>
      </c>
      <c r="K23" s="248">
        <f>11929300+290000+800700</f>
        <v>13020000</v>
      </c>
      <c r="L23" s="146">
        <f>1280700-800000-700</f>
        <v>480000</v>
      </c>
      <c r="M23" s="102"/>
    </row>
    <row r="24" spans="1:15" ht="15">
      <c r="A24" s="8">
        <f t="shared" si="1"/>
        <v>4</v>
      </c>
      <c r="B24" s="15" t="s">
        <v>66</v>
      </c>
      <c r="C24" s="41" t="s">
        <v>8</v>
      </c>
      <c r="D24" s="81">
        <v>2700000</v>
      </c>
      <c r="E24" s="81">
        <v>2700000</v>
      </c>
      <c r="F24" s="83">
        <f t="shared" si="25"/>
        <v>-500000</v>
      </c>
      <c r="G24" s="84">
        <v>2200000</v>
      </c>
      <c r="H24" s="85">
        <f t="shared" si="26"/>
        <v>-100000</v>
      </c>
      <c r="I24" s="135">
        <v>2100000</v>
      </c>
      <c r="J24" s="267">
        <f t="shared" si="4"/>
        <v>95.454545454545453</v>
      </c>
      <c r="K24" s="248">
        <f>1760000-100000-100000</f>
        <v>1560000</v>
      </c>
      <c r="L24" s="146">
        <f>440000+100000</f>
        <v>540000</v>
      </c>
      <c r="M24" s="102"/>
    </row>
    <row r="25" spans="1:15" ht="22.5">
      <c r="A25" s="8">
        <f t="shared" si="1"/>
        <v>4</v>
      </c>
      <c r="B25" s="15" t="s">
        <v>67</v>
      </c>
      <c r="C25" s="41" t="s">
        <v>144</v>
      </c>
      <c r="D25" s="81">
        <v>250000</v>
      </c>
      <c r="E25" s="81">
        <v>250000</v>
      </c>
      <c r="F25" s="83">
        <f t="shared" si="25"/>
        <v>-50000</v>
      </c>
      <c r="G25" s="84">
        <v>200000</v>
      </c>
      <c r="H25" s="85">
        <f t="shared" si="26"/>
        <v>160000</v>
      </c>
      <c r="I25" s="135">
        <f>380000-20000</f>
        <v>360000</v>
      </c>
      <c r="J25" s="267">
        <f t="shared" si="4"/>
        <v>180</v>
      </c>
      <c r="K25" s="248">
        <f>140000+100000</f>
        <v>240000</v>
      </c>
      <c r="L25" s="146">
        <f>60000+60000</f>
        <v>120000</v>
      </c>
      <c r="M25" s="102"/>
    </row>
    <row r="26" spans="1:15" ht="15">
      <c r="A26" s="8">
        <f t="shared" si="1"/>
        <v>4</v>
      </c>
      <c r="B26" s="15" t="s">
        <v>68</v>
      </c>
      <c r="C26" s="41" t="s">
        <v>9</v>
      </c>
      <c r="D26" s="81">
        <v>220000</v>
      </c>
      <c r="E26" s="82">
        <f>220000+20000</f>
        <v>240000</v>
      </c>
      <c r="F26" s="83">
        <f t="shared" si="25"/>
        <v>-30000</v>
      </c>
      <c r="G26" s="84">
        <v>210000</v>
      </c>
      <c r="H26" s="85">
        <f t="shared" si="26"/>
        <v>0</v>
      </c>
      <c r="I26" s="135">
        <v>210000</v>
      </c>
      <c r="J26" s="267">
        <f t="shared" si="4"/>
        <v>100</v>
      </c>
      <c r="K26" s="248">
        <f>168000</f>
        <v>168000</v>
      </c>
      <c r="L26" s="146">
        <f>42000</f>
        <v>42000</v>
      </c>
      <c r="M26" s="102"/>
      <c r="O26" s="177"/>
    </row>
    <row r="27" spans="1:15" ht="15">
      <c r="A27" s="8">
        <f t="shared" si="1"/>
        <v>4</v>
      </c>
      <c r="B27" s="15" t="s">
        <v>69</v>
      </c>
      <c r="C27" s="41" t="s">
        <v>145</v>
      </c>
      <c r="D27" s="81">
        <v>130000</v>
      </c>
      <c r="E27" s="81">
        <v>130000</v>
      </c>
      <c r="F27" s="83">
        <f t="shared" si="25"/>
        <v>20000</v>
      </c>
      <c r="G27" s="84">
        <v>150000</v>
      </c>
      <c r="H27" s="85">
        <f t="shared" si="26"/>
        <v>-30000</v>
      </c>
      <c r="I27" s="135">
        <v>120000</v>
      </c>
      <c r="J27" s="267">
        <f t="shared" si="4"/>
        <v>80</v>
      </c>
      <c r="K27" s="248">
        <f>120000-20000</f>
        <v>100000</v>
      </c>
      <c r="L27" s="146">
        <f>30000-10000</f>
        <v>20000</v>
      </c>
      <c r="M27" s="102"/>
    </row>
    <row r="28" spans="1:15">
      <c r="A28" s="8">
        <f t="shared" si="1"/>
        <v>3</v>
      </c>
      <c r="B28" s="13" t="s">
        <v>70</v>
      </c>
      <c r="C28" s="14" t="s">
        <v>71</v>
      </c>
      <c r="D28" s="91">
        <f t="shared" ref="D28:E28" si="27">SUM(D29:D37)</f>
        <v>7530000</v>
      </c>
      <c r="E28" s="91">
        <f t="shared" si="27"/>
        <v>9545490.5700000003</v>
      </c>
      <c r="F28" s="79">
        <f>SUM(F29:F37)</f>
        <v>-2398497.5699999994</v>
      </c>
      <c r="G28" s="80">
        <f t="shared" ref="G28:I28" si="28">SUM(G29:G37)</f>
        <v>7146993</v>
      </c>
      <c r="H28" s="151">
        <f t="shared" si="28"/>
        <v>186534.70000000019</v>
      </c>
      <c r="I28" s="134">
        <f t="shared" si="28"/>
        <v>7333527.7000000002</v>
      </c>
      <c r="J28" s="265">
        <f t="shared" si="4"/>
        <v>102.60997457252302</v>
      </c>
      <c r="K28" s="246">
        <f t="shared" ref="K28:M28" si="29">SUM(K29:K37)</f>
        <v>4671251.7</v>
      </c>
      <c r="L28" s="145">
        <f t="shared" si="29"/>
        <v>1222700</v>
      </c>
      <c r="M28" s="145">
        <f t="shared" si="29"/>
        <v>1439576</v>
      </c>
    </row>
    <row r="29" spans="1:15" ht="15">
      <c r="A29" s="8">
        <f t="shared" si="1"/>
        <v>4</v>
      </c>
      <c r="B29" s="15" t="s">
        <v>72</v>
      </c>
      <c r="C29" s="41" t="s">
        <v>10</v>
      </c>
      <c r="D29" s="86">
        <v>250000</v>
      </c>
      <c r="E29" s="86">
        <v>250000</v>
      </c>
      <c r="F29" s="83">
        <f t="shared" ref="F29:F37" si="30">G29-E29</f>
        <v>-40000</v>
      </c>
      <c r="G29" s="84">
        <v>210000</v>
      </c>
      <c r="H29" s="85">
        <f>I29-G29</f>
        <v>10000</v>
      </c>
      <c r="I29" s="135">
        <v>220000</v>
      </c>
      <c r="J29" s="267">
        <f t="shared" si="4"/>
        <v>104.76190476190477</v>
      </c>
      <c r="K29" s="248">
        <f>168000+10000</f>
        <v>178000</v>
      </c>
      <c r="L29" s="146">
        <f>42000</f>
        <v>42000</v>
      </c>
      <c r="M29" s="102"/>
    </row>
    <row r="30" spans="1:15" ht="15">
      <c r="A30" s="8">
        <f t="shared" si="1"/>
        <v>4</v>
      </c>
      <c r="B30" s="15" t="s">
        <v>73</v>
      </c>
      <c r="C30" s="41" t="s">
        <v>139</v>
      </c>
      <c r="D30" s="92">
        <v>3500000</v>
      </c>
      <c r="E30" s="93">
        <f>3500000+1393086.19+262200.38</f>
        <v>5155286.5699999994</v>
      </c>
      <c r="F30" s="83">
        <f t="shared" si="30"/>
        <v>-1668293.5699999994</v>
      </c>
      <c r="G30" s="84">
        <v>3486993</v>
      </c>
      <c r="H30" s="85">
        <f t="shared" ref="H30:H37" si="31">I30-G30</f>
        <v>191534.70000000019</v>
      </c>
      <c r="I30" s="137">
        <f>3400000-128222-3250-70000-0.3-20000+500000</f>
        <v>3678527.7</v>
      </c>
      <c r="J30" s="267">
        <f t="shared" si="4"/>
        <v>105.49283293657314</v>
      </c>
      <c r="K30" s="248">
        <f>262200.38+1393086.19+100000+529660.43+3770-288465.3-20000</f>
        <v>1980251.7</v>
      </c>
      <c r="L30" s="146">
        <f>258700</f>
        <v>258700</v>
      </c>
      <c r="M30" s="146">
        <f>939576+500000</f>
        <v>1439576</v>
      </c>
      <c r="O30" s="177"/>
    </row>
    <row r="31" spans="1:15" ht="15">
      <c r="A31" s="8">
        <f t="shared" si="1"/>
        <v>4</v>
      </c>
      <c r="B31" s="15" t="s">
        <v>74</v>
      </c>
      <c r="C31" s="41" t="s">
        <v>11</v>
      </c>
      <c r="D31" s="86">
        <v>290000</v>
      </c>
      <c r="E31" s="86">
        <v>290000</v>
      </c>
      <c r="F31" s="83">
        <f t="shared" si="30"/>
        <v>-100000</v>
      </c>
      <c r="G31" s="84">
        <v>190000</v>
      </c>
      <c r="H31" s="85">
        <f t="shared" si="31"/>
        <v>80000</v>
      </c>
      <c r="I31" s="135">
        <v>270000</v>
      </c>
      <c r="J31" s="267">
        <f t="shared" si="4"/>
        <v>142.10526315789474</v>
      </c>
      <c r="K31" s="248">
        <f>95000+25000</f>
        <v>120000</v>
      </c>
      <c r="L31" s="146">
        <f>95000+55000</f>
        <v>150000</v>
      </c>
      <c r="M31" s="102"/>
    </row>
    <row r="32" spans="1:15" ht="15">
      <c r="A32" s="8">
        <f t="shared" si="1"/>
        <v>4</v>
      </c>
      <c r="B32" s="15" t="s">
        <v>75</v>
      </c>
      <c r="C32" s="41" t="s">
        <v>12</v>
      </c>
      <c r="D32" s="86">
        <v>950000</v>
      </c>
      <c r="E32" s="86">
        <v>950000</v>
      </c>
      <c r="F32" s="83">
        <f t="shared" si="30"/>
        <v>-50000</v>
      </c>
      <c r="G32" s="84">
        <v>900000</v>
      </c>
      <c r="H32" s="85">
        <f t="shared" si="31"/>
        <v>-50000</v>
      </c>
      <c r="I32" s="135">
        <v>850000</v>
      </c>
      <c r="J32" s="267">
        <f t="shared" si="4"/>
        <v>94.444444444444443</v>
      </c>
      <c r="K32" s="248">
        <f>765000-50000-100000</f>
        <v>615000</v>
      </c>
      <c r="L32" s="146">
        <f>135000+100000</f>
        <v>235000</v>
      </c>
      <c r="M32" s="102"/>
    </row>
    <row r="33" spans="1:13" ht="15">
      <c r="A33" s="8">
        <f t="shared" si="1"/>
        <v>4</v>
      </c>
      <c r="B33" s="15" t="s">
        <v>76</v>
      </c>
      <c r="C33" s="41" t="s">
        <v>13</v>
      </c>
      <c r="D33" s="94">
        <v>450000</v>
      </c>
      <c r="E33" s="95">
        <f>450000+250000</f>
        <v>700000</v>
      </c>
      <c r="F33" s="83">
        <f t="shared" si="30"/>
        <v>-250000</v>
      </c>
      <c r="G33" s="84">
        <v>450000</v>
      </c>
      <c r="H33" s="85">
        <f t="shared" si="31"/>
        <v>115000</v>
      </c>
      <c r="I33" s="135">
        <v>565000</v>
      </c>
      <c r="J33" s="267">
        <f t="shared" si="4"/>
        <v>125.55555555555556</v>
      </c>
      <c r="K33" s="248">
        <f>360000+115000</f>
        <v>475000</v>
      </c>
      <c r="L33" s="146">
        <f>90000</f>
        <v>90000</v>
      </c>
      <c r="M33" s="102"/>
    </row>
    <row r="34" spans="1:13" ht="15">
      <c r="A34" s="8">
        <f t="shared" si="1"/>
        <v>4</v>
      </c>
      <c r="B34" s="15" t="s">
        <v>77</v>
      </c>
      <c r="C34" s="41" t="s">
        <v>14</v>
      </c>
      <c r="D34" s="86">
        <v>540000</v>
      </c>
      <c r="E34" s="86">
        <v>540000</v>
      </c>
      <c r="F34" s="83">
        <f t="shared" si="30"/>
        <v>0</v>
      </c>
      <c r="G34" s="84">
        <v>540000</v>
      </c>
      <c r="H34" s="85">
        <f t="shared" si="31"/>
        <v>-90000</v>
      </c>
      <c r="I34" s="135">
        <v>450000</v>
      </c>
      <c r="J34" s="267">
        <f t="shared" si="4"/>
        <v>83.333333333333343</v>
      </c>
      <c r="K34" s="248">
        <f>432000-70000</f>
        <v>362000</v>
      </c>
      <c r="L34" s="146">
        <f>108000-20000</f>
        <v>88000</v>
      </c>
      <c r="M34" s="102"/>
    </row>
    <row r="35" spans="1:13" ht="15">
      <c r="A35" s="8">
        <f t="shared" si="1"/>
        <v>4</v>
      </c>
      <c r="B35" s="15" t="s">
        <v>78</v>
      </c>
      <c r="C35" s="41" t="s">
        <v>15</v>
      </c>
      <c r="D35" s="86">
        <v>600000</v>
      </c>
      <c r="E35" s="93">
        <f>600000+45000</f>
        <v>645000</v>
      </c>
      <c r="F35" s="83">
        <f t="shared" si="30"/>
        <v>-195000</v>
      </c>
      <c r="G35" s="84">
        <v>450000</v>
      </c>
      <c r="H35" s="85">
        <f t="shared" si="31"/>
        <v>30000</v>
      </c>
      <c r="I35" s="135">
        <v>480000</v>
      </c>
      <c r="J35" s="267">
        <f t="shared" si="4"/>
        <v>106.66666666666667</v>
      </c>
      <c r="K35" s="248">
        <f>360000+30000+15000</f>
        <v>405000</v>
      </c>
      <c r="L35" s="146">
        <f>90000-15000</f>
        <v>75000</v>
      </c>
      <c r="M35" s="102"/>
    </row>
    <row r="36" spans="1:13" ht="15">
      <c r="A36" s="8">
        <f t="shared" si="1"/>
        <v>4</v>
      </c>
      <c r="B36" s="15" t="s">
        <v>79</v>
      </c>
      <c r="C36" s="41" t="s">
        <v>16</v>
      </c>
      <c r="D36" s="86">
        <v>400000</v>
      </c>
      <c r="E36" s="93">
        <f>400000+65204</f>
        <v>465204</v>
      </c>
      <c r="F36" s="83">
        <f t="shared" si="30"/>
        <v>4796</v>
      </c>
      <c r="G36" s="84">
        <v>470000</v>
      </c>
      <c r="H36" s="85">
        <f t="shared" si="31"/>
        <v>0</v>
      </c>
      <c r="I36" s="135">
        <v>470000</v>
      </c>
      <c r="J36" s="267">
        <f t="shared" si="4"/>
        <v>100</v>
      </c>
      <c r="K36" s="248">
        <f>376000</f>
        <v>376000</v>
      </c>
      <c r="L36" s="146">
        <f>94000</f>
        <v>94000</v>
      </c>
      <c r="M36" s="102"/>
    </row>
    <row r="37" spans="1:13" ht="15">
      <c r="A37" s="8">
        <f t="shared" si="1"/>
        <v>4</v>
      </c>
      <c r="B37" s="15" t="s">
        <v>80</v>
      </c>
      <c r="C37" s="41" t="s">
        <v>17</v>
      </c>
      <c r="D37" s="86">
        <v>550000</v>
      </c>
      <c r="E37" s="86">
        <v>550000</v>
      </c>
      <c r="F37" s="83">
        <f t="shared" si="30"/>
        <v>-100000</v>
      </c>
      <c r="G37" s="84">
        <v>450000</v>
      </c>
      <c r="H37" s="85">
        <f t="shared" si="31"/>
        <v>-100000</v>
      </c>
      <c r="I37" s="135">
        <v>350000</v>
      </c>
      <c r="J37" s="267">
        <f t="shared" si="4"/>
        <v>77.777777777777786</v>
      </c>
      <c r="K37" s="248">
        <f>360000-100000-100000</f>
        <v>160000</v>
      </c>
      <c r="L37" s="146">
        <f>90000+100000</f>
        <v>190000</v>
      </c>
      <c r="M37" s="102"/>
    </row>
    <row r="38" spans="1:13" ht="24.75">
      <c r="A38" s="8">
        <f t="shared" si="1"/>
        <v>3</v>
      </c>
      <c r="B38" s="13" t="s">
        <v>81</v>
      </c>
      <c r="C38" s="14" t="s">
        <v>24</v>
      </c>
      <c r="D38" s="96">
        <f t="shared" ref="D38:I38" si="32">D39</f>
        <v>50000</v>
      </c>
      <c r="E38" s="96">
        <f t="shared" si="32"/>
        <v>50000</v>
      </c>
      <c r="F38" s="97">
        <f t="shared" si="32"/>
        <v>-14000</v>
      </c>
      <c r="G38" s="98">
        <f t="shared" si="32"/>
        <v>36000</v>
      </c>
      <c r="H38" s="166">
        <f t="shared" si="32"/>
        <v>0</v>
      </c>
      <c r="I38" s="136">
        <f t="shared" si="32"/>
        <v>36000</v>
      </c>
      <c r="J38" s="265">
        <f t="shared" si="4"/>
        <v>100</v>
      </c>
      <c r="K38" s="249">
        <f t="shared" ref="K38:M38" si="33">K39</f>
        <v>36000</v>
      </c>
      <c r="L38" s="147">
        <f t="shared" si="33"/>
        <v>0</v>
      </c>
      <c r="M38" s="147">
        <f t="shared" si="33"/>
        <v>0</v>
      </c>
    </row>
    <row r="39" spans="1:13" ht="22.5">
      <c r="A39" s="8">
        <f t="shared" si="1"/>
        <v>4</v>
      </c>
      <c r="B39" s="15" t="s">
        <v>82</v>
      </c>
      <c r="C39" s="41" t="s">
        <v>151</v>
      </c>
      <c r="D39" s="86">
        <v>50000</v>
      </c>
      <c r="E39" s="86">
        <v>50000</v>
      </c>
      <c r="F39" s="83">
        <f>G39-E39</f>
        <v>-14000</v>
      </c>
      <c r="G39" s="84">
        <v>36000</v>
      </c>
      <c r="H39" s="85">
        <f>I39-G39</f>
        <v>0</v>
      </c>
      <c r="I39" s="135">
        <v>36000</v>
      </c>
      <c r="J39" s="267">
        <f t="shared" si="4"/>
        <v>100</v>
      </c>
      <c r="K39" s="248">
        <f>36000</f>
        <v>36000</v>
      </c>
      <c r="L39" s="146">
        <v>0</v>
      </c>
      <c r="M39" s="102"/>
    </row>
    <row r="40" spans="1:13" ht="24.75">
      <c r="A40" s="8">
        <f t="shared" si="1"/>
        <v>3</v>
      </c>
      <c r="B40" s="13" t="s">
        <v>83</v>
      </c>
      <c r="C40" s="14" t="s">
        <v>20</v>
      </c>
      <c r="D40" s="91">
        <f t="shared" ref="D40:E40" si="34">SUM(D41:D47)</f>
        <v>491000</v>
      </c>
      <c r="E40" s="91">
        <f t="shared" si="34"/>
        <v>491000</v>
      </c>
      <c r="F40" s="79">
        <f>SUM(F41:F47)</f>
        <v>-51000</v>
      </c>
      <c r="G40" s="80">
        <f t="shared" ref="G40:I40" si="35">SUM(G41:G47)</f>
        <v>440000</v>
      </c>
      <c r="H40" s="151">
        <f t="shared" si="35"/>
        <v>-30000</v>
      </c>
      <c r="I40" s="134">
        <f t="shared" si="35"/>
        <v>410000</v>
      </c>
      <c r="J40" s="265">
        <f t="shared" si="4"/>
        <v>93.181818181818173</v>
      </c>
      <c r="K40" s="246">
        <f t="shared" ref="K40:M40" si="36">SUM(K41:K47)</f>
        <v>306000</v>
      </c>
      <c r="L40" s="145">
        <f t="shared" si="36"/>
        <v>104000</v>
      </c>
      <c r="M40" s="145">
        <f t="shared" si="36"/>
        <v>0</v>
      </c>
    </row>
    <row r="41" spans="1:13" ht="22.5">
      <c r="A41" s="8">
        <f t="shared" si="1"/>
        <v>4</v>
      </c>
      <c r="B41" s="15" t="s">
        <v>84</v>
      </c>
      <c r="C41" s="41" t="s">
        <v>85</v>
      </c>
      <c r="D41" s="86">
        <v>36000</v>
      </c>
      <c r="E41" s="86">
        <v>36000</v>
      </c>
      <c r="F41" s="83">
        <f t="shared" ref="F41:F47" si="37">G41-E41</f>
        <v>11000</v>
      </c>
      <c r="G41" s="84">
        <v>47000</v>
      </c>
      <c r="H41" s="85">
        <f>I41-G41</f>
        <v>0</v>
      </c>
      <c r="I41" s="135">
        <v>47000</v>
      </c>
      <c r="J41" s="267">
        <f t="shared" si="4"/>
        <v>100</v>
      </c>
      <c r="K41" s="248">
        <f>47000</f>
        <v>47000</v>
      </c>
      <c r="L41" s="146">
        <v>0</v>
      </c>
      <c r="M41" s="102"/>
    </row>
    <row r="42" spans="1:13" ht="15">
      <c r="A42" s="8">
        <f t="shared" si="1"/>
        <v>4</v>
      </c>
      <c r="B42" s="15" t="s">
        <v>86</v>
      </c>
      <c r="C42" s="41" t="s">
        <v>25</v>
      </c>
      <c r="D42" s="86">
        <v>220000</v>
      </c>
      <c r="E42" s="86">
        <v>220000</v>
      </c>
      <c r="F42" s="83">
        <f t="shared" si="37"/>
        <v>0</v>
      </c>
      <c r="G42" s="84">
        <v>220000</v>
      </c>
      <c r="H42" s="85">
        <f t="shared" ref="H42:H47" si="38">I42-G42</f>
        <v>0</v>
      </c>
      <c r="I42" s="135">
        <v>220000</v>
      </c>
      <c r="J42" s="267">
        <f t="shared" si="4"/>
        <v>100</v>
      </c>
      <c r="K42" s="248">
        <f>176000</f>
        <v>176000</v>
      </c>
      <c r="L42" s="146">
        <f>44000</f>
        <v>44000</v>
      </c>
      <c r="M42" s="102"/>
    </row>
    <row r="43" spans="1:13" ht="15">
      <c r="A43" s="8">
        <f t="shared" si="1"/>
        <v>4</v>
      </c>
      <c r="B43" s="15" t="s">
        <v>87</v>
      </c>
      <c r="C43" s="41" t="s">
        <v>18</v>
      </c>
      <c r="D43" s="86">
        <v>55000</v>
      </c>
      <c r="E43" s="86">
        <v>55000</v>
      </c>
      <c r="F43" s="83">
        <f t="shared" si="37"/>
        <v>-30000</v>
      </c>
      <c r="G43" s="84">
        <v>25000</v>
      </c>
      <c r="H43" s="85">
        <f t="shared" si="38"/>
        <v>0</v>
      </c>
      <c r="I43" s="135">
        <f>25000</f>
        <v>25000</v>
      </c>
      <c r="J43" s="267">
        <f t="shared" si="4"/>
        <v>100</v>
      </c>
      <c r="K43" s="248">
        <v>0</v>
      </c>
      <c r="L43" s="146">
        <v>25000</v>
      </c>
      <c r="M43" s="102"/>
    </row>
    <row r="44" spans="1:13" ht="15">
      <c r="A44" s="8">
        <f t="shared" si="1"/>
        <v>4</v>
      </c>
      <c r="B44" s="15" t="s">
        <v>88</v>
      </c>
      <c r="C44" s="41" t="s">
        <v>89</v>
      </c>
      <c r="D44" s="86">
        <v>40000</v>
      </c>
      <c r="E44" s="86">
        <v>40000</v>
      </c>
      <c r="F44" s="83">
        <f t="shared" si="37"/>
        <v>-2000</v>
      </c>
      <c r="G44" s="84">
        <v>38000</v>
      </c>
      <c r="H44" s="85">
        <f t="shared" si="38"/>
        <v>0</v>
      </c>
      <c r="I44" s="135">
        <v>38000</v>
      </c>
      <c r="J44" s="267">
        <f t="shared" si="4"/>
        <v>100</v>
      </c>
      <c r="K44" s="248">
        <f>19000</f>
        <v>19000</v>
      </c>
      <c r="L44" s="146">
        <f>19000</f>
        <v>19000</v>
      </c>
      <c r="M44" s="102"/>
    </row>
    <row r="45" spans="1:13" ht="15">
      <c r="A45" s="8">
        <f t="shared" si="1"/>
        <v>4</v>
      </c>
      <c r="B45" s="15" t="s">
        <v>90</v>
      </c>
      <c r="C45" s="41" t="s">
        <v>19</v>
      </c>
      <c r="D45" s="86">
        <v>100000</v>
      </c>
      <c r="E45" s="86">
        <v>100000</v>
      </c>
      <c r="F45" s="83">
        <f t="shared" si="37"/>
        <v>-30000</v>
      </c>
      <c r="G45" s="84">
        <v>70000</v>
      </c>
      <c r="H45" s="85">
        <f t="shared" si="38"/>
        <v>-10000</v>
      </c>
      <c r="I45" s="135">
        <f>70000-10000</f>
        <v>60000</v>
      </c>
      <c r="J45" s="267">
        <f t="shared" si="4"/>
        <v>85.714285714285708</v>
      </c>
      <c r="K45" s="248">
        <f>56000-10000</f>
        <v>46000</v>
      </c>
      <c r="L45" s="146">
        <f>14000</f>
        <v>14000</v>
      </c>
      <c r="M45" s="102"/>
    </row>
    <row r="46" spans="1:13" ht="15">
      <c r="A46" s="8">
        <f t="shared" si="1"/>
        <v>4</v>
      </c>
      <c r="B46" s="15" t="s">
        <v>91</v>
      </c>
      <c r="C46" s="41" t="s">
        <v>26</v>
      </c>
      <c r="D46" s="86"/>
      <c r="E46" s="86"/>
      <c r="F46" s="83">
        <f t="shared" si="37"/>
        <v>0</v>
      </c>
      <c r="G46" s="84">
        <v>0</v>
      </c>
      <c r="H46" s="85">
        <f t="shared" si="38"/>
        <v>0</v>
      </c>
      <c r="I46" s="135">
        <v>0</v>
      </c>
      <c r="J46" s="267"/>
      <c r="K46" s="248">
        <v>0</v>
      </c>
      <c r="L46" s="146">
        <v>0</v>
      </c>
      <c r="M46" s="102"/>
    </row>
    <row r="47" spans="1:13" ht="15">
      <c r="A47" s="8">
        <f t="shared" si="1"/>
        <v>4</v>
      </c>
      <c r="B47" s="15" t="s">
        <v>92</v>
      </c>
      <c r="C47" s="41" t="s">
        <v>150</v>
      </c>
      <c r="D47" s="86">
        <v>40000</v>
      </c>
      <c r="E47" s="86">
        <v>40000</v>
      </c>
      <c r="F47" s="83">
        <f t="shared" si="37"/>
        <v>0</v>
      </c>
      <c r="G47" s="84">
        <v>40000</v>
      </c>
      <c r="H47" s="85">
        <f t="shared" si="38"/>
        <v>-20000</v>
      </c>
      <c r="I47" s="135">
        <v>20000</v>
      </c>
      <c r="J47" s="267">
        <f t="shared" si="4"/>
        <v>50</v>
      </c>
      <c r="K47" s="248">
        <f>18000</f>
        <v>18000</v>
      </c>
      <c r="L47" s="146">
        <f>2000</f>
        <v>2000</v>
      </c>
      <c r="M47" s="102"/>
    </row>
    <row r="48" spans="1:13">
      <c r="A48" s="8">
        <f t="shared" si="1"/>
        <v>2</v>
      </c>
      <c r="B48" s="156" t="s">
        <v>93</v>
      </c>
      <c r="C48" s="157" t="s">
        <v>94</v>
      </c>
      <c r="D48" s="158">
        <f t="shared" ref="D48:I48" si="39">D51+D49</f>
        <v>313000</v>
      </c>
      <c r="E48" s="158">
        <f t="shared" si="39"/>
        <v>313000</v>
      </c>
      <c r="F48" s="76">
        <f t="shared" si="39"/>
        <v>-82500</v>
      </c>
      <c r="G48" s="77">
        <f t="shared" si="39"/>
        <v>230500</v>
      </c>
      <c r="H48" s="148">
        <f t="shared" ref="H48" si="40">H51+H49</f>
        <v>-63300</v>
      </c>
      <c r="I48" s="133">
        <f t="shared" si="39"/>
        <v>167200</v>
      </c>
      <c r="J48" s="266">
        <f t="shared" si="4"/>
        <v>72.537960954446859</v>
      </c>
      <c r="K48" s="245">
        <f t="shared" ref="K48:M48" si="41">K51+K49</f>
        <v>72000</v>
      </c>
      <c r="L48" s="144">
        <f t="shared" si="41"/>
        <v>95200</v>
      </c>
      <c r="M48" s="144">
        <f t="shared" si="41"/>
        <v>0</v>
      </c>
    </row>
    <row r="49" spans="1:13">
      <c r="B49" s="44">
        <v>342</v>
      </c>
      <c r="C49" s="45" t="s">
        <v>95</v>
      </c>
      <c r="D49" s="99">
        <f t="shared" ref="D49:I49" si="42">SUM(D50)</f>
        <v>50000</v>
      </c>
      <c r="E49" s="99">
        <f t="shared" si="42"/>
        <v>50000</v>
      </c>
      <c r="F49" s="100">
        <f t="shared" si="42"/>
        <v>0</v>
      </c>
      <c r="G49" s="101">
        <f t="shared" si="42"/>
        <v>50000</v>
      </c>
      <c r="H49" s="167">
        <f t="shared" si="42"/>
        <v>-18300</v>
      </c>
      <c r="I49" s="154">
        <f t="shared" si="42"/>
        <v>31700</v>
      </c>
      <c r="J49" s="265">
        <f t="shared" si="4"/>
        <v>63.4</v>
      </c>
      <c r="K49" s="250">
        <f t="shared" ref="K49:M49" si="43">SUM(K50)</f>
        <v>0</v>
      </c>
      <c r="L49" s="155">
        <f t="shared" si="43"/>
        <v>31700</v>
      </c>
      <c r="M49" s="155">
        <f t="shared" si="43"/>
        <v>0</v>
      </c>
    </row>
    <row r="50" spans="1:13" ht="15">
      <c r="B50" s="17">
        <v>3423</v>
      </c>
      <c r="C50" s="41" t="s">
        <v>158</v>
      </c>
      <c r="D50" s="86">
        <v>50000</v>
      </c>
      <c r="E50" s="86">
        <v>50000</v>
      </c>
      <c r="F50" s="83">
        <f>G50-E50</f>
        <v>0</v>
      </c>
      <c r="G50" s="84">
        <v>50000</v>
      </c>
      <c r="H50" s="85">
        <f>I50-G50</f>
        <v>-18300</v>
      </c>
      <c r="I50" s="137">
        <v>31700</v>
      </c>
      <c r="J50" s="267">
        <f t="shared" si="4"/>
        <v>63.4</v>
      </c>
      <c r="K50" s="248"/>
      <c r="L50" s="146">
        <f>31700</f>
        <v>31700</v>
      </c>
      <c r="M50" s="102"/>
    </row>
    <row r="51" spans="1:13">
      <c r="A51" s="8">
        <f t="shared" si="1"/>
        <v>3</v>
      </c>
      <c r="B51" s="13" t="s">
        <v>96</v>
      </c>
      <c r="C51" s="14" t="s">
        <v>28</v>
      </c>
      <c r="D51" s="78">
        <f t="shared" ref="D51:I51" si="44">SUM(D52:D55)</f>
        <v>263000</v>
      </c>
      <c r="E51" s="78">
        <f t="shared" si="44"/>
        <v>263000</v>
      </c>
      <c r="F51" s="79">
        <f t="shared" si="44"/>
        <v>-82500</v>
      </c>
      <c r="G51" s="80">
        <f t="shared" si="44"/>
        <v>180500</v>
      </c>
      <c r="H51" s="151">
        <f t="shared" si="44"/>
        <v>-45000</v>
      </c>
      <c r="I51" s="134">
        <f t="shared" si="44"/>
        <v>135500</v>
      </c>
      <c r="J51" s="265">
        <f t="shared" si="4"/>
        <v>75.069252077562325</v>
      </c>
      <c r="K51" s="246">
        <f t="shared" ref="K51:M51" si="45">SUM(K52:K55)</f>
        <v>72000</v>
      </c>
      <c r="L51" s="145">
        <f t="shared" si="45"/>
        <v>63500</v>
      </c>
      <c r="M51" s="145">
        <f t="shared" si="45"/>
        <v>0</v>
      </c>
    </row>
    <row r="52" spans="1:13" ht="22.5">
      <c r="A52" s="8">
        <f t="shared" si="1"/>
        <v>4</v>
      </c>
      <c r="B52" s="15" t="s">
        <v>97</v>
      </c>
      <c r="C52" s="41" t="s">
        <v>149</v>
      </c>
      <c r="D52" s="86">
        <v>33000</v>
      </c>
      <c r="E52" s="86">
        <v>33000</v>
      </c>
      <c r="F52" s="83">
        <f>G52-E52</f>
        <v>-8000</v>
      </c>
      <c r="G52" s="84">
        <v>25000</v>
      </c>
      <c r="H52" s="85">
        <f>I52-G52</f>
        <v>-3000</v>
      </c>
      <c r="I52" s="135">
        <v>22000</v>
      </c>
      <c r="J52" s="267">
        <f t="shared" si="4"/>
        <v>88</v>
      </c>
      <c r="K52" s="248">
        <f>20000-3000-5000</f>
        <v>12000</v>
      </c>
      <c r="L52" s="146">
        <f>5000+5000</f>
        <v>10000</v>
      </c>
      <c r="M52" s="102"/>
    </row>
    <row r="53" spans="1:13" ht="15">
      <c r="A53" s="8">
        <f t="shared" si="1"/>
        <v>4</v>
      </c>
      <c r="B53" s="15" t="s">
        <v>98</v>
      </c>
      <c r="C53" s="41" t="s">
        <v>138</v>
      </c>
      <c r="D53" s="86">
        <v>30000</v>
      </c>
      <c r="E53" s="86">
        <v>30000</v>
      </c>
      <c r="F53" s="83">
        <f>G53-E53</f>
        <v>-25000</v>
      </c>
      <c r="G53" s="84">
        <v>5000</v>
      </c>
      <c r="H53" s="85">
        <f t="shared" ref="H53:H55" si="46">I53-G53</f>
        <v>-2000</v>
      </c>
      <c r="I53" s="135">
        <v>3000</v>
      </c>
      <c r="J53" s="267">
        <f t="shared" si="4"/>
        <v>60</v>
      </c>
      <c r="K53" s="248">
        <v>0</v>
      </c>
      <c r="L53" s="146">
        <f>3000</f>
        <v>3000</v>
      </c>
      <c r="M53" s="102"/>
    </row>
    <row r="54" spans="1:13" ht="15">
      <c r="A54" s="8">
        <f t="shared" si="1"/>
        <v>4</v>
      </c>
      <c r="B54" s="18" t="s">
        <v>99</v>
      </c>
      <c r="C54" s="19" t="s">
        <v>27</v>
      </c>
      <c r="D54" s="86"/>
      <c r="E54" s="86"/>
      <c r="F54" s="83">
        <f>G54-E54</f>
        <v>500</v>
      </c>
      <c r="G54" s="84">
        <v>500</v>
      </c>
      <c r="H54" s="85">
        <f t="shared" si="46"/>
        <v>0</v>
      </c>
      <c r="I54" s="135">
        <v>500</v>
      </c>
      <c r="J54" s="267">
        <f t="shared" si="4"/>
        <v>100</v>
      </c>
      <c r="K54" s="248">
        <v>0</v>
      </c>
      <c r="L54" s="146">
        <v>500</v>
      </c>
      <c r="M54" s="102"/>
    </row>
    <row r="55" spans="1:13" ht="23.25" thickBot="1">
      <c r="B55" s="20" t="s">
        <v>100</v>
      </c>
      <c r="C55" s="21" t="s">
        <v>21</v>
      </c>
      <c r="D55" s="86">
        <v>200000</v>
      </c>
      <c r="E55" s="86">
        <v>200000</v>
      </c>
      <c r="F55" s="83">
        <f>G55-E55</f>
        <v>-50000</v>
      </c>
      <c r="G55" s="84">
        <v>150000</v>
      </c>
      <c r="H55" s="85">
        <f t="shared" si="46"/>
        <v>-40000</v>
      </c>
      <c r="I55" s="135">
        <v>110000</v>
      </c>
      <c r="J55" s="267">
        <f t="shared" si="4"/>
        <v>73.333333333333329</v>
      </c>
      <c r="K55" s="248">
        <f>75000-15000</f>
        <v>60000</v>
      </c>
      <c r="L55" s="146">
        <f>75000-25000</f>
        <v>50000</v>
      </c>
      <c r="M55" s="102"/>
    </row>
    <row r="56" spans="1:13" ht="26.25">
      <c r="A56" s="8" t="e">
        <f>LEN(#REF!)</f>
        <v>#REF!</v>
      </c>
      <c r="B56" s="22" t="s">
        <v>101</v>
      </c>
      <c r="C56" s="23" t="s">
        <v>102</v>
      </c>
      <c r="D56" s="104">
        <f>D57+D60</f>
        <v>7306000</v>
      </c>
      <c r="E56" s="104">
        <f t="shared" ref="E56:M56" si="47">E57+E60</f>
        <v>8265716</v>
      </c>
      <c r="F56" s="104">
        <f t="shared" si="47"/>
        <v>-723026</v>
      </c>
      <c r="G56" s="104">
        <f t="shared" si="47"/>
        <v>7542690</v>
      </c>
      <c r="H56" s="104">
        <f t="shared" si="47"/>
        <v>19310</v>
      </c>
      <c r="I56" s="104">
        <f t="shared" si="47"/>
        <v>7562000</v>
      </c>
      <c r="J56" s="268">
        <f t="shared" si="4"/>
        <v>100.2560094608157</v>
      </c>
      <c r="K56" s="251">
        <f t="shared" si="47"/>
        <v>0</v>
      </c>
      <c r="L56" s="104">
        <f t="shared" si="47"/>
        <v>0</v>
      </c>
      <c r="M56" s="104">
        <f t="shared" si="47"/>
        <v>7562000</v>
      </c>
    </row>
    <row r="57" spans="1:13" ht="26.25">
      <c r="A57" s="8">
        <f>LEN(B61)</f>
        <v>3</v>
      </c>
      <c r="B57" s="24" t="s">
        <v>103</v>
      </c>
      <c r="C57" s="42" t="s">
        <v>148</v>
      </c>
      <c r="D57" s="105">
        <f t="shared" ref="D57:I57" si="48">D58</f>
        <v>50000</v>
      </c>
      <c r="E57" s="105">
        <f t="shared" si="48"/>
        <v>50000</v>
      </c>
      <c r="F57" s="106">
        <f t="shared" si="48"/>
        <v>-10000</v>
      </c>
      <c r="G57" s="107">
        <f t="shared" si="48"/>
        <v>40000</v>
      </c>
      <c r="H57" s="149">
        <f t="shared" si="48"/>
        <v>-40000</v>
      </c>
      <c r="I57" s="138">
        <f t="shared" si="48"/>
        <v>0</v>
      </c>
      <c r="J57" s="266">
        <f t="shared" si="4"/>
        <v>0</v>
      </c>
      <c r="K57" s="252">
        <f t="shared" ref="K57:M58" si="49">K58</f>
        <v>0</v>
      </c>
      <c r="L57" s="149">
        <f t="shared" si="49"/>
        <v>0</v>
      </c>
      <c r="M57" s="149">
        <f t="shared" si="49"/>
        <v>0</v>
      </c>
    </row>
    <row r="58" spans="1:13">
      <c r="A58" s="8">
        <f>LEN(B64)</f>
        <v>4</v>
      </c>
      <c r="B58" s="25" t="s">
        <v>104</v>
      </c>
      <c r="C58" s="25" t="s">
        <v>105</v>
      </c>
      <c r="D58" s="108">
        <f t="shared" ref="D58:K58" si="50">D59</f>
        <v>50000</v>
      </c>
      <c r="E58" s="108">
        <f t="shared" si="50"/>
        <v>50000</v>
      </c>
      <c r="F58" s="109">
        <f t="shared" si="50"/>
        <v>-10000</v>
      </c>
      <c r="G58" s="98">
        <f t="shared" si="50"/>
        <v>40000</v>
      </c>
      <c r="H58" s="166">
        <f t="shared" si="50"/>
        <v>-40000</v>
      </c>
      <c r="I58" s="139">
        <f t="shared" si="50"/>
        <v>0</v>
      </c>
      <c r="J58" s="265">
        <f t="shared" si="4"/>
        <v>0</v>
      </c>
      <c r="K58" s="253">
        <f t="shared" si="50"/>
        <v>0</v>
      </c>
      <c r="L58" s="150">
        <f t="shared" si="49"/>
        <v>0</v>
      </c>
      <c r="M58" s="150">
        <f t="shared" si="49"/>
        <v>0</v>
      </c>
    </row>
    <row r="59" spans="1:13" ht="15">
      <c r="A59" s="8">
        <f>LEN(B65)</f>
        <v>4</v>
      </c>
      <c r="B59" s="26" t="s">
        <v>106</v>
      </c>
      <c r="C59" s="27" t="s">
        <v>29</v>
      </c>
      <c r="D59" s="110">
        <v>50000</v>
      </c>
      <c r="E59" s="110">
        <v>50000</v>
      </c>
      <c r="F59" s="83">
        <f>G59-E59</f>
        <v>-10000</v>
      </c>
      <c r="G59" s="84">
        <v>40000</v>
      </c>
      <c r="H59" s="85">
        <f>I59-G59</f>
        <v>-40000</v>
      </c>
      <c r="I59" s="135">
        <v>0</v>
      </c>
      <c r="J59" s="267">
        <f t="shared" si="4"/>
        <v>0</v>
      </c>
      <c r="K59" s="248">
        <v>0</v>
      </c>
      <c r="L59" s="146">
        <v>0</v>
      </c>
      <c r="M59" s="102"/>
    </row>
    <row r="60" spans="1:13" ht="26.25">
      <c r="A60" s="8" t="e">
        <f>LEN(#REF!)</f>
        <v>#REF!</v>
      </c>
      <c r="B60" s="24" t="s">
        <v>107</v>
      </c>
      <c r="C60" s="42" t="s">
        <v>146</v>
      </c>
      <c r="D60" s="105">
        <f t="shared" ref="D60:M60" si="51">D61+D68</f>
        <v>7256000</v>
      </c>
      <c r="E60" s="105">
        <f t="shared" si="51"/>
        <v>8215716</v>
      </c>
      <c r="F60" s="105">
        <f t="shared" si="51"/>
        <v>-713026</v>
      </c>
      <c r="G60" s="111">
        <f t="shared" si="51"/>
        <v>7502690</v>
      </c>
      <c r="H60" s="168">
        <f t="shared" si="51"/>
        <v>59310</v>
      </c>
      <c r="I60" s="138">
        <f t="shared" si="51"/>
        <v>7562000</v>
      </c>
      <c r="J60" s="266">
        <f t="shared" si="4"/>
        <v>100.79051646809344</v>
      </c>
      <c r="K60" s="252">
        <f t="shared" si="51"/>
        <v>0</v>
      </c>
      <c r="L60" s="149">
        <f t="shared" si="51"/>
        <v>0</v>
      </c>
      <c r="M60" s="149">
        <f t="shared" si="51"/>
        <v>7562000</v>
      </c>
    </row>
    <row r="61" spans="1:13">
      <c r="A61" s="8" t="e">
        <f>LEN(#REF!)</f>
        <v>#REF!</v>
      </c>
      <c r="B61" s="25" t="s">
        <v>108</v>
      </c>
      <c r="C61" s="25" t="s">
        <v>109</v>
      </c>
      <c r="D61" s="108">
        <f t="shared" ref="D61:M61" si="52">SUM(D62:D67)</f>
        <v>7156000</v>
      </c>
      <c r="E61" s="108">
        <f t="shared" si="52"/>
        <v>7988216</v>
      </c>
      <c r="F61" s="109">
        <f t="shared" si="52"/>
        <v>-713026</v>
      </c>
      <c r="G61" s="98">
        <f t="shared" si="52"/>
        <v>7275190</v>
      </c>
      <c r="H61" s="166">
        <f t="shared" si="52"/>
        <v>156810</v>
      </c>
      <c r="I61" s="139">
        <f t="shared" si="52"/>
        <v>7432000</v>
      </c>
      <c r="J61" s="265">
        <f t="shared" si="4"/>
        <v>102.15540762509295</v>
      </c>
      <c r="K61" s="253">
        <f t="shared" si="52"/>
        <v>0</v>
      </c>
      <c r="L61" s="150">
        <f t="shared" si="52"/>
        <v>0</v>
      </c>
      <c r="M61" s="150">
        <f t="shared" si="52"/>
        <v>7432000</v>
      </c>
    </row>
    <row r="62" spans="1:13" ht="15">
      <c r="A62" s="8" t="e">
        <f>LEN(#REF!)</f>
        <v>#REF!</v>
      </c>
      <c r="B62" s="26" t="s">
        <v>110</v>
      </c>
      <c r="C62" s="27" t="s">
        <v>30</v>
      </c>
      <c r="D62" s="110">
        <v>350000</v>
      </c>
      <c r="E62" s="112">
        <f>350000+196000</f>
        <v>546000</v>
      </c>
      <c r="F62" s="83">
        <f t="shared" ref="F62:F67" si="53">G62-E62</f>
        <v>-186000</v>
      </c>
      <c r="G62" s="84">
        <v>360000</v>
      </c>
      <c r="H62" s="85">
        <f>I62-G62</f>
        <v>20000</v>
      </c>
      <c r="I62" s="135">
        <v>380000</v>
      </c>
      <c r="J62" s="267">
        <f t="shared" si="4"/>
        <v>105.55555555555556</v>
      </c>
      <c r="K62" s="248"/>
      <c r="L62" s="146"/>
      <c r="M62" s="146">
        <f>196000+184000</f>
        <v>380000</v>
      </c>
    </row>
    <row r="63" spans="1:13" ht="15">
      <c r="A63" s="8" t="e">
        <f>LEN(#REF!)</f>
        <v>#REF!</v>
      </c>
      <c r="B63" s="26" t="s">
        <v>111</v>
      </c>
      <c r="C63" s="27" t="s">
        <v>31</v>
      </c>
      <c r="D63" s="110">
        <v>100000</v>
      </c>
      <c r="E63" s="112">
        <f>100000+100000</f>
        <v>200000</v>
      </c>
      <c r="F63" s="83">
        <f t="shared" si="53"/>
        <v>-80000</v>
      </c>
      <c r="G63" s="84">
        <v>120000</v>
      </c>
      <c r="H63" s="85">
        <f t="shared" ref="H63:H67" si="54">I63-G63</f>
        <v>0</v>
      </c>
      <c r="I63" s="135">
        <v>120000</v>
      </c>
      <c r="J63" s="267">
        <f t="shared" si="4"/>
        <v>100</v>
      </c>
      <c r="K63" s="248"/>
      <c r="L63" s="146"/>
      <c r="M63" s="146">
        <f>100000+20000</f>
        <v>120000</v>
      </c>
    </row>
    <row r="64" spans="1:13" ht="15">
      <c r="A64" s="8" t="e">
        <f>LEN(#REF!)</f>
        <v>#REF!</v>
      </c>
      <c r="B64" s="26" t="s">
        <v>112</v>
      </c>
      <c r="C64" s="27" t="s">
        <v>32</v>
      </c>
      <c r="D64" s="110">
        <v>200000</v>
      </c>
      <c r="E64" s="112">
        <f>200000+158750</f>
        <v>358750</v>
      </c>
      <c r="F64" s="83">
        <f t="shared" si="53"/>
        <v>-200000</v>
      </c>
      <c r="G64" s="84">
        <v>158750</v>
      </c>
      <c r="H64" s="85">
        <f t="shared" si="54"/>
        <v>3250</v>
      </c>
      <c r="I64" s="135">
        <v>162000</v>
      </c>
      <c r="J64" s="267">
        <f t="shared" si="4"/>
        <v>102.04724409448819</v>
      </c>
      <c r="K64" s="248"/>
      <c r="L64" s="146"/>
      <c r="M64" s="146">
        <f>158750+3250</f>
        <v>162000</v>
      </c>
    </row>
    <row r="65" spans="1:15" ht="15">
      <c r="A65" s="8" t="e">
        <f>LEN(#REF!)</f>
        <v>#REF!</v>
      </c>
      <c r="B65" s="26" t="s">
        <v>113</v>
      </c>
      <c r="C65" s="27" t="s">
        <v>33</v>
      </c>
      <c r="D65" s="110">
        <v>6356000</v>
      </c>
      <c r="E65" s="112">
        <f>6356000+319091</f>
        <v>6675091</v>
      </c>
      <c r="F65" s="83">
        <f t="shared" si="53"/>
        <v>-123651</v>
      </c>
      <c r="G65" s="84">
        <v>6551440</v>
      </c>
      <c r="H65" s="85">
        <f t="shared" si="54"/>
        <v>148560</v>
      </c>
      <c r="I65" s="135">
        <f>6550000+150000</f>
        <v>6700000</v>
      </c>
      <c r="J65" s="267">
        <f t="shared" si="4"/>
        <v>102.26759307877352</v>
      </c>
      <c r="K65" s="248"/>
      <c r="L65" s="146"/>
      <c r="M65" s="146">
        <f>690424+5248750+319091+200000+241735</f>
        <v>6700000</v>
      </c>
    </row>
    <row r="66" spans="1:15" ht="15">
      <c r="A66" s="8" t="e">
        <f>LEN(#REF!)</f>
        <v>#REF!</v>
      </c>
      <c r="B66" s="26" t="s">
        <v>114</v>
      </c>
      <c r="C66" s="27" t="s">
        <v>34</v>
      </c>
      <c r="D66" s="110"/>
      <c r="E66" s="110"/>
      <c r="F66" s="83">
        <f t="shared" si="53"/>
        <v>0</v>
      </c>
      <c r="G66" s="84">
        <v>0</v>
      </c>
      <c r="H66" s="85">
        <f t="shared" si="54"/>
        <v>0</v>
      </c>
      <c r="I66" s="135">
        <v>0</v>
      </c>
      <c r="J66" s="267"/>
      <c r="K66" s="248"/>
      <c r="L66" s="146"/>
      <c r="M66" s="146">
        <v>0</v>
      </c>
    </row>
    <row r="67" spans="1:15" ht="22.5">
      <c r="A67" s="8">
        <f>LEN(B69)</f>
        <v>4</v>
      </c>
      <c r="B67" s="26" t="s">
        <v>115</v>
      </c>
      <c r="C67" s="27" t="s">
        <v>35</v>
      </c>
      <c r="D67" s="110">
        <v>150000</v>
      </c>
      <c r="E67" s="112">
        <f>150000+58375</f>
        <v>208375</v>
      </c>
      <c r="F67" s="83">
        <f t="shared" si="53"/>
        <v>-123375</v>
      </c>
      <c r="G67" s="84">
        <v>85000</v>
      </c>
      <c r="H67" s="85">
        <f t="shared" si="54"/>
        <v>-15000</v>
      </c>
      <c r="I67" s="135">
        <v>70000</v>
      </c>
      <c r="J67" s="267">
        <f t="shared" si="4"/>
        <v>82.35294117647058</v>
      </c>
      <c r="K67" s="248"/>
      <c r="L67" s="146"/>
      <c r="M67" s="146">
        <f>58375+11625</f>
        <v>70000</v>
      </c>
    </row>
    <row r="68" spans="1:15" ht="24.75">
      <c r="A68" s="8" t="e">
        <f>LEN(#REF!)</f>
        <v>#REF!</v>
      </c>
      <c r="B68" s="25" t="s">
        <v>116</v>
      </c>
      <c r="C68" s="25" t="s">
        <v>117</v>
      </c>
      <c r="D68" s="113">
        <f t="shared" ref="D68:M68" si="55">SUM(D69:D70)</f>
        <v>100000</v>
      </c>
      <c r="E68" s="113">
        <f t="shared" si="55"/>
        <v>227500</v>
      </c>
      <c r="F68" s="114">
        <f t="shared" si="55"/>
        <v>0</v>
      </c>
      <c r="G68" s="80">
        <f t="shared" si="55"/>
        <v>227500</v>
      </c>
      <c r="H68" s="151">
        <f t="shared" si="55"/>
        <v>-97500</v>
      </c>
      <c r="I68" s="140">
        <f t="shared" si="55"/>
        <v>130000</v>
      </c>
      <c r="J68" s="265">
        <f t="shared" si="4"/>
        <v>57.142857142857139</v>
      </c>
      <c r="K68" s="254">
        <f t="shared" si="55"/>
        <v>0</v>
      </c>
      <c r="L68" s="151">
        <f t="shared" si="55"/>
        <v>0</v>
      </c>
      <c r="M68" s="151">
        <f t="shared" si="55"/>
        <v>130000</v>
      </c>
    </row>
    <row r="69" spans="1:15" ht="15">
      <c r="A69" s="8" t="e">
        <f>LEN(#REF!)</f>
        <v>#REF!</v>
      </c>
      <c r="B69" s="26" t="s">
        <v>118</v>
      </c>
      <c r="C69" s="27" t="s">
        <v>119</v>
      </c>
      <c r="D69" s="110">
        <v>100000</v>
      </c>
      <c r="E69" s="112">
        <f>100000+127500</f>
        <v>227500</v>
      </c>
      <c r="F69" s="83">
        <f>G69-E69</f>
        <v>0</v>
      </c>
      <c r="G69" s="84">
        <v>227500</v>
      </c>
      <c r="H69" s="85">
        <f>I69-G69</f>
        <v>-97500</v>
      </c>
      <c r="I69" s="135">
        <v>130000</v>
      </c>
      <c r="J69" s="267">
        <f t="shared" ref="J69:J75" si="56">I69/G69*100</f>
        <v>57.142857142857139</v>
      </c>
      <c r="K69" s="248"/>
      <c r="L69" s="146"/>
      <c r="M69" s="146">
        <f>127500+2500</f>
        <v>130000</v>
      </c>
    </row>
    <row r="70" spans="1:15" ht="15">
      <c r="A70" s="8" t="e">
        <f>LEN(#REF!)</f>
        <v>#REF!</v>
      </c>
      <c r="B70" s="26" t="s">
        <v>120</v>
      </c>
      <c r="C70" s="27" t="s">
        <v>147</v>
      </c>
      <c r="D70" s="110"/>
      <c r="E70" s="110"/>
      <c r="F70" s="102"/>
      <c r="G70" s="103">
        <v>0</v>
      </c>
      <c r="H70" s="85">
        <f t="shared" ref="H70" si="57">I70-G70</f>
        <v>0</v>
      </c>
      <c r="I70" s="135">
        <v>0</v>
      </c>
      <c r="J70" s="267"/>
      <c r="K70" s="248"/>
      <c r="L70" s="146"/>
      <c r="M70" s="102">
        <v>0</v>
      </c>
    </row>
    <row r="71" spans="1:15" ht="23.25">
      <c r="B71" s="28">
        <v>5</v>
      </c>
      <c r="C71" s="29" t="s">
        <v>121</v>
      </c>
      <c r="D71" s="115">
        <f t="shared" ref="D71:I73" si="58">SUM(D72)</f>
        <v>800000</v>
      </c>
      <c r="E71" s="115">
        <f t="shared" si="58"/>
        <v>800000</v>
      </c>
      <c r="F71" s="116">
        <f t="shared" si="58"/>
        <v>0</v>
      </c>
      <c r="G71" s="117">
        <f t="shared" si="58"/>
        <v>800000</v>
      </c>
      <c r="H71" s="152">
        <f t="shared" si="58"/>
        <v>-187645</v>
      </c>
      <c r="I71" s="141">
        <f t="shared" si="58"/>
        <v>612355</v>
      </c>
      <c r="J71" s="268">
        <f t="shared" si="56"/>
        <v>76.544375000000002</v>
      </c>
      <c r="K71" s="255">
        <f t="shared" ref="K71:M73" si="59">SUM(K72)</f>
        <v>0</v>
      </c>
      <c r="L71" s="152">
        <f t="shared" si="59"/>
        <v>0</v>
      </c>
      <c r="M71" s="152">
        <f t="shared" si="59"/>
        <v>612355</v>
      </c>
    </row>
    <row r="72" spans="1:15" ht="23.25">
      <c r="B72" s="30">
        <v>54</v>
      </c>
      <c r="C72" s="31" t="s">
        <v>122</v>
      </c>
      <c r="D72" s="118">
        <f t="shared" si="58"/>
        <v>800000</v>
      </c>
      <c r="E72" s="118">
        <f t="shared" si="58"/>
        <v>800000</v>
      </c>
      <c r="F72" s="119">
        <f t="shared" si="58"/>
        <v>0</v>
      </c>
      <c r="G72" s="77">
        <f t="shared" si="58"/>
        <v>800000</v>
      </c>
      <c r="H72" s="148">
        <f t="shared" si="58"/>
        <v>-187645</v>
      </c>
      <c r="I72" s="142">
        <f t="shared" si="58"/>
        <v>612355</v>
      </c>
      <c r="J72" s="266">
        <f t="shared" si="56"/>
        <v>76.544375000000002</v>
      </c>
      <c r="K72" s="256">
        <f t="shared" si="59"/>
        <v>0</v>
      </c>
      <c r="L72" s="148">
        <f t="shared" si="59"/>
        <v>0</v>
      </c>
      <c r="M72" s="148">
        <f t="shared" si="59"/>
        <v>612355</v>
      </c>
    </row>
    <row r="73" spans="1:15" ht="22.5">
      <c r="B73" s="32">
        <v>544</v>
      </c>
      <c r="C73" s="33" t="s">
        <v>123</v>
      </c>
      <c r="D73" s="120">
        <f t="shared" si="58"/>
        <v>800000</v>
      </c>
      <c r="E73" s="120">
        <f t="shared" si="58"/>
        <v>800000</v>
      </c>
      <c r="F73" s="121">
        <f t="shared" si="58"/>
        <v>0</v>
      </c>
      <c r="G73" s="122">
        <f t="shared" si="58"/>
        <v>800000</v>
      </c>
      <c r="H73" s="169">
        <f t="shared" si="58"/>
        <v>-187645</v>
      </c>
      <c r="I73" s="143">
        <f t="shared" si="58"/>
        <v>612355</v>
      </c>
      <c r="J73" s="265">
        <f t="shared" si="56"/>
        <v>76.544375000000002</v>
      </c>
      <c r="K73" s="257">
        <f t="shared" si="59"/>
        <v>0</v>
      </c>
      <c r="L73" s="153">
        <f t="shared" si="59"/>
        <v>0</v>
      </c>
      <c r="M73" s="153">
        <f t="shared" si="59"/>
        <v>612355</v>
      </c>
    </row>
    <row r="74" spans="1:15" ht="23.25" thickBot="1">
      <c r="B74" s="34">
        <v>5443</v>
      </c>
      <c r="C74" s="159" t="s">
        <v>124</v>
      </c>
      <c r="D74" s="123">
        <v>800000</v>
      </c>
      <c r="E74" s="123">
        <v>800000</v>
      </c>
      <c r="F74" s="124">
        <f>G74-E74</f>
        <v>0</v>
      </c>
      <c r="G74" s="125">
        <v>800000</v>
      </c>
      <c r="H74" s="126">
        <f>I74-G74</f>
        <v>-187645</v>
      </c>
      <c r="I74" s="160">
        <v>612355</v>
      </c>
      <c r="J74" s="269">
        <f t="shared" si="56"/>
        <v>76.544375000000002</v>
      </c>
      <c r="K74" s="258"/>
      <c r="L74" s="161"/>
      <c r="M74" s="161">
        <v>612355</v>
      </c>
    </row>
    <row r="75" spans="1:15" ht="16.5" thickBot="1">
      <c r="C75" s="36" t="s">
        <v>36</v>
      </c>
      <c r="D75" s="127">
        <f t="shared" ref="D75:M75" si="60">D56+D4+D71</f>
        <v>78590000</v>
      </c>
      <c r="E75" s="127">
        <f t="shared" si="60"/>
        <v>81659732.699999988</v>
      </c>
      <c r="F75" s="128">
        <f t="shared" si="60"/>
        <v>-9951250</v>
      </c>
      <c r="G75" s="129">
        <f t="shared" si="60"/>
        <v>71708482.700000003</v>
      </c>
      <c r="H75" s="162">
        <f t="shared" si="60"/>
        <v>463000.00000000023</v>
      </c>
      <c r="I75" s="179">
        <f t="shared" si="60"/>
        <v>72171482.700000003</v>
      </c>
      <c r="J75" s="270">
        <f t="shared" si="56"/>
        <v>100.645669776527</v>
      </c>
      <c r="K75" s="259">
        <f t="shared" si="60"/>
        <v>54756906.700000003</v>
      </c>
      <c r="L75" s="162">
        <f t="shared" si="60"/>
        <v>7800645</v>
      </c>
      <c r="M75" s="162">
        <f t="shared" si="60"/>
        <v>9613931</v>
      </c>
      <c r="O75" s="177"/>
    </row>
    <row r="76" spans="1:15">
      <c r="G76" s="131"/>
      <c r="H76" s="131"/>
      <c r="J76" s="261"/>
      <c r="K76" s="131"/>
      <c r="L76" s="131"/>
      <c r="M76" s="131"/>
    </row>
    <row r="77" spans="1:15">
      <c r="B77" s="236"/>
      <c r="C77" s="237"/>
      <c r="D77" s="132"/>
      <c r="E77" s="132"/>
      <c r="F77" s="238"/>
      <c r="G77" s="239"/>
      <c r="H77" s="239"/>
      <c r="I77" s="240"/>
      <c r="J77" s="262"/>
      <c r="K77" s="238"/>
    </row>
    <row r="78" spans="1:15">
      <c r="B78" s="236"/>
      <c r="C78" s="170"/>
      <c r="D78" s="132"/>
      <c r="E78" s="132"/>
      <c r="F78" s="132"/>
      <c r="G78" s="170"/>
      <c r="H78" s="241"/>
      <c r="I78" s="240"/>
      <c r="J78" s="240"/>
      <c r="K78" s="238"/>
    </row>
    <row r="79" spans="1:15">
      <c r="B79" s="236"/>
      <c r="C79" s="171"/>
      <c r="D79" s="132"/>
      <c r="E79" s="132"/>
      <c r="F79" s="132"/>
      <c r="G79" s="171"/>
      <c r="H79" s="241"/>
      <c r="I79" s="240"/>
      <c r="J79" s="240"/>
      <c r="K79" s="238"/>
    </row>
    <row r="80" spans="1:15">
      <c r="B80" s="236"/>
      <c r="C80" s="172"/>
      <c r="D80" s="132"/>
      <c r="E80" s="132"/>
      <c r="F80" s="132"/>
      <c r="G80" s="172"/>
      <c r="H80" s="241"/>
      <c r="I80" s="240"/>
      <c r="J80" s="240"/>
      <c r="K80" s="238"/>
    </row>
    <row r="81" spans="2:11">
      <c r="B81" s="236"/>
      <c r="C81" s="237"/>
      <c r="D81" s="132"/>
      <c r="E81" s="132"/>
      <c r="F81" s="238"/>
      <c r="G81" s="238"/>
      <c r="H81" s="238"/>
      <c r="I81" s="239"/>
      <c r="J81" s="239"/>
      <c r="K81" s="238"/>
    </row>
    <row r="82" spans="2:11">
      <c r="B82" s="236"/>
      <c r="C82" s="237"/>
      <c r="D82" s="132"/>
      <c r="E82" s="132"/>
      <c r="F82" s="238"/>
      <c r="G82" s="238"/>
      <c r="H82" s="238"/>
      <c r="I82" s="239"/>
      <c r="J82" s="239"/>
      <c r="K82" s="238"/>
    </row>
    <row r="83" spans="2:11">
      <c r="B83" s="236"/>
      <c r="C83" s="237"/>
      <c r="D83" s="132"/>
      <c r="E83" s="132"/>
      <c r="F83" s="238"/>
      <c r="G83" s="238"/>
      <c r="H83" s="238"/>
      <c r="I83" s="239"/>
      <c r="J83" s="239"/>
      <c r="K83" s="238"/>
    </row>
  </sheetData>
  <mergeCells count="1">
    <mergeCell ref="B2:M2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PRIHODI - REBALANS 2</vt:lpstr>
      <vt:lpstr>RASHODI - REBALANS 2</vt:lpstr>
      <vt:lpstr>List1</vt:lpstr>
      <vt:lpstr>'RASHODI - REBALANS 2'!Ispis_naslova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2020-10-23T12:49:06Z</dcterms:modified>
</cp:coreProperties>
</file>